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8515" windowHeight="11790" activeTab="1"/>
  </bookViews>
  <sheets>
    <sheet name="ΣΥΝΟΠΤΙΚΟΣ" sheetId="1" r:id="rId1"/>
    <sheet name="ΠΡΟΓΡΑΜΜΑΤΑ" sheetId="2" r:id="rId2"/>
    <sheet name="Φύλλο3" sheetId="3" state="hidden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I24" i="3"/>
  <c r="AI31"/>
  <c r="AI8"/>
  <c r="AI9"/>
  <c r="AI10"/>
  <c r="AI11"/>
  <c r="AI12"/>
  <c r="AI13"/>
  <c r="AI14"/>
  <c r="AI15"/>
  <c r="AI16"/>
  <c r="AI17"/>
  <c r="AI18"/>
  <c r="AI19"/>
  <c r="AI20"/>
  <c r="AI21"/>
  <c r="AI22"/>
  <c r="AI23"/>
  <c r="AI26"/>
  <c r="AI27"/>
  <c r="AI28"/>
  <c r="AI29"/>
  <c r="AI30"/>
  <c r="AI32"/>
  <c r="AI33"/>
  <c r="AI34"/>
  <c r="AI35"/>
  <c r="AI36"/>
  <c r="AI37"/>
  <c r="AI3"/>
  <c r="AI4"/>
  <c r="AI5"/>
  <c r="AI6"/>
  <c r="AI7"/>
  <c r="AI2"/>
  <c r="AG38"/>
  <c r="Z38"/>
  <c r="AA38"/>
  <c r="AB38"/>
  <c r="AC38"/>
  <c r="AD38"/>
  <c r="AE38"/>
  <c r="AF38"/>
  <c r="Y38"/>
  <c r="U8" l="1"/>
  <c r="AJ35"/>
  <c r="AJ36"/>
  <c r="AJ37"/>
  <c r="AN36" i="2"/>
  <c r="AM36"/>
  <c r="AO36" s="1"/>
  <c r="AN3" l="1"/>
  <c r="AM3"/>
  <c r="AN31"/>
  <c r="AN32"/>
  <c r="AN34"/>
  <c r="AN35"/>
  <c r="AM30"/>
  <c r="AM31"/>
  <c r="AM32"/>
  <c r="AM33"/>
  <c r="AM34"/>
  <c r="AO34" s="1"/>
  <c r="AM35"/>
  <c r="U37"/>
  <c r="V37"/>
  <c r="W37"/>
  <c r="Y37"/>
  <c r="Z37"/>
  <c r="AA37"/>
  <c r="AB37"/>
  <c r="AC37"/>
  <c r="AD37"/>
  <c r="AE37"/>
  <c r="AF37"/>
  <c r="AG37"/>
  <c r="AH37"/>
  <c r="AI37"/>
  <c r="AJ37"/>
  <c r="AK37"/>
  <c r="AL37"/>
  <c r="AN11"/>
  <c r="AN18"/>
  <c r="AN20"/>
  <c r="AN21"/>
  <c r="AN22"/>
  <c r="AN28"/>
  <c r="AN29"/>
  <c r="AM11"/>
  <c r="AM14"/>
  <c r="AM17"/>
  <c r="AM18"/>
  <c r="AM21"/>
  <c r="AO21" s="1"/>
  <c r="AM22"/>
  <c r="AM23"/>
  <c r="AO23" s="1"/>
  <c r="AM24"/>
  <c r="AO24" s="1"/>
  <c r="AM25"/>
  <c r="AO25" s="1"/>
  <c r="AM26"/>
  <c r="AO26" s="1"/>
  <c r="AM27"/>
  <c r="AO27" s="1"/>
  <c r="AM28"/>
  <c r="AM29"/>
  <c r="X33"/>
  <c r="X37" s="1"/>
  <c r="V31"/>
  <c r="T30"/>
  <c r="S30"/>
  <c r="R33"/>
  <c r="AN33" s="1"/>
  <c r="R30"/>
  <c r="Q33"/>
  <c r="F30"/>
  <c r="F29"/>
  <c r="F28"/>
  <c r="D30"/>
  <c r="AN30" s="1"/>
  <c r="C29"/>
  <c r="AO28" l="1"/>
  <c r="AO33"/>
  <c r="AO29"/>
  <c r="AO35"/>
  <c r="AO31"/>
  <c r="AO30"/>
  <c r="AO32"/>
  <c r="C38" i="3" l="1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AH38"/>
  <c r="AJ28"/>
  <c r="T11" i="2"/>
  <c r="S11"/>
  <c r="AK28" i="3" l="1"/>
  <c r="T16" i="2"/>
  <c r="B15"/>
  <c r="B12"/>
  <c r="S10"/>
  <c r="S14"/>
  <c r="AP18"/>
  <c r="AO18"/>
  <c r="B20" l="1"/>
  <c r="S9"/>
  <c r="B38" i="3"/>
  <c r="AJ34"/>
  <c r="AJ33"/>
  <c r="AJ32"/>
  <c r="AJ31"/>
  <c r="AJ30"/>
  <c r="AJ29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T8" i="2" s="1"/>
  <c r="S8"/>
  <c r="AJ6" i="3"/>
  <c r="T7" i="2" s="1"/>
  <c r="S7"/>
  <c r="AJ5" i="3"/>
  <c r="T6" i="2" s="1"/>
  <c r="S6"/>
  <c r="AJ4" i="3"/>
  <c r="T5" i="2" s="1"/>
  <c r="S5"/>
  <c r="AJ3" i="3"/>
  <c r="T4" i="2" s="1"/>
  <c r="S4"/>
  <c r="AJ2" i="3"/>
  <c r="AI38"/>
  <c r="N27" i="2"/>
  <c r="AN27" s="1"/>
  <c r="N26"/>
  <c r="AN26" s="1"/>
  <c r="N25"/>
  <c r="AN25" s="1"/>
  <c r="N24"/>
  <c r="AN24" s="1"/>
  <c r="N23"/>
  <c r="AN23" s="1"/>
  <c r="N19"/>
  <c r="AN19" s="1"/>
  <c r="N16"/>
  <c r="AN16" s="1"/>
  <c r="M16"/>
  <c r="N15"/>
  <c r="AN15" s="1"/>
  <c r="M15"/>
  <c r="N12"/>
  <c r="M12"/>
  <c r="AM12" s="1"/>
  <c r="N10"/>
  <c r="AN10" s="1"/>
  <c r="M10"/>
  <c r="AJ38" i="3" l="1"/>
  <c r="AJ42" s="1"/>
  <c r="AK14"/>
  <c r="AK16"/>
  <c r="AK30"/>
  <c r="AN4" i="2"/>
  <c r="B6"/>
  <c r="AM6"/>
  <c r="B9"/>
  <c r="B4"/>
  <c r="AM4"/>
  <c r="AM8"/>
  <c r="B8"/>
  <c r="B5"/>
  <c r="AM7"/>
  <c r="B7"/>
  <c r="B19"/>
  <c r="K19" s="1"/>
  <c r="AK31" i="3"/>
  <c r="AK21"/>
  <c r="AK26"/>
  <c r="AK8"/>
  <c r="AK27"/>
  <c r="AK25"/>
  <c r="AK13"/>
  <c r="AK18"/>
  <c r="AK11"/>
  <c r="T9" i="2"/>
  <c r="AK10" i="3"/>
  <c r="AK9"/>
  <c r="N37" i="2"/>
  <c r="M37"/>
  <c r="AK6" i="3"/>
  <c r="AK5"/>
  <c r="AK4"/>
  <c r="AK19"/>
  <c r="AK3"/>
  <c r="AK17"/>
  <c r="AK22"/>
  <c r="AK24"/>
  <c r="AK32"/>
  <c r="AK37"/>
  <c r="AK7"/>
  <c r="AK12"/>
  <c r="AK15"/>
  <c r="AK20"/>
  <c r="AK23"/>
  <c r="AK29"/>
  <c r="AK33"/>
  <c r="AK36"/>
  <c r="AK34"/>
  <c r="AK2"/>
  <c r="AP36" i="2"/>
  <c r="AP35"/>
  <c r="L27"/>
  <c r="AP27" s="1"/>
  <c r="AP26"/>
  <c r="L26"/>
  <c r="L25"/>
  <c r="AP25" s="1"/>
  <c r="L24"/>
  <c r="AP24" s="1"/>
  <c r="AP23"/>
  <c r="L23"/>
  <c r="F22"/>
  <c r="AP21"/>
  <c r="AP20"/>
  <c r="L20"/>
  <c r="K20"/>
  <c r="E20"/>
  <c r="AM20" s="1"/>
  <c r="E19"/>
  <c r="AM19" s="1"/>
  <c r="T17"/>
  <c r="AN17" s="1"/>
  <c r="AO17"/>
  <c r="I17"/>
  <c r="I37" s="1"/>
  <c r="F17"/>
  <c r="G17" s="1"/>
  <c r="G37" s="1"/>
  <c r="Q16"/>
  <c r="K16"/>
  <c r="F16"/>
  <c r="D16"/>
  <c r="C16" s="1"/>
  <c r="AM16" s="1"/>
  <c r="K15"/>
  <c r="L15" s="1"/>
  <c r="F15"/>
  <c r="C15"/>
  <c r="AM15" s="1"/>
  <c r="AP15"/>
  <c r="T14"/>
  <c r="Q14"/>
  <c r="J13"/>
  <c r="AN13" s="1"/>
  <c r="E13"/>
  <c r="K12"/>
  <c r="J12"/>
  <c r="AN12" s="1"/>
  <c r="F12"/>
  <c r="R11"/>
  <c r="Q11"/>
  <c r="K11"/>
  <c r="S37"/>
  <c r="F10"/>
  <c r="B10"/>
  <c r="H9"/>
  <c r="J9" s="1"/>
  <c r="F9"/>
  <c r="E9" s="1"/>
  <c r="AM9" s="1"/>
  <c r="H8"/>
  <c r="J8" s="1"/>
  <c r="AN8" s="1"/>
  <c r="F8"/>
  <c r="E8" s="1"/>
  <c r="J7"/>
  <c r="AN7" s="1"/>
  <c r="H7"/>
  <c r="F7"/>
  <c r="E7"/>
  <c r="J6"/>
  <c r="AN6" s="1"/>
  <c r="H6"/>
  <c r="F6"/>
  <c r="E6"/>
  <c r="H5"/>
  <c r="J5" s="1"/>
  <c r="AN5" s="1"/>
  <c r="F5"/>
  <c r="E5" s="1"/>
  <c r="AM5" s="1"/>
  <c r="H4"/>
  <c r="J4" s="1"/>
  <c r="F4"/>
  <c r="E4" s="1"/>
  <c r="AP3"/>
  <c r="J3"/>
  <c r="H3"/>
  <c r="F3"/>
  <c r="E3"/>
  <c r="AO2"/>
  <c r="J2"/>
  <c r="E2"/>
  <c r="AM2" s="1"/>
  <c r="AP2" l="1"/>
  <c r="AN2"/>
  <c r="AM13"/>
  <c r="AO13" s="1"/>
  <c r="AN9"/>
  <c r="AO9" s="1"/>
  <c r="AO5"/>
  <c r="AP5"/>
  <c r="AO4"/>
  <c r="AP4"/>
  <c r="AO6"/>
  <c r="AP6"/>
  <c r="AP7"/>
  <c r="AO7"/>
  <c r="AP8"/>
  <c r="AO8"/>
  <c r="B37"/>
  <c r="H37"/>
  <c r="AP19"/>
  <c r="E37"/>
  <c r="AO19"/>
  <c r="Q10"/>
  <c r="AM10" s="1"/>
  <c r="AO10" s="1"/>
  <c r="AO11"/>
  <c r="R14"/>
  <c r="AO14"/>
  <c r="K37"/>
  <c r="J37"/>
  <c r="AP12"/>
  <c r="AO20"/>
  <c r="C37"/>
  <c r="AO16"/>
  <c r="F37"/>
  <c r="AP17"/>
  <c r="R37"/>
  <c r="AP16"/>
  <c r="AP13"/>
  <c r="AK38" i="3"/>
  <c r="AJ40"/>
  <c r="AJ39"/>
  <c r="T37" i="2"/>
  <c r="AP10"/>
  <c r="AO12"/>
  <c r="AO3"/>
  <c r="AO15"/>
  <c r="D37"/>
  <c r="L11"/>
  <c r="AP9" l="1"/>
  <c r="AN14"/>
  <c r="AP14" s="1"/>
  <c r="Q37"/>
  <c r="L37"/>
  <c r="AM37" l="1"/>
  <c r="AP11"/>
  <c r="AN37"/>
</calcChain>
</file>

<file path=xl/sharedStrings.xml><?xml version="1.0" encoding="utf-8"?>
<sst xmlns="http://schemas.openxmlformats.org/spreadsheetml/2006/main" count="350" uniqueCount="264">
  <si>
    <r>
      <t xml:space="preserve">ΠΙΝΑΚΑΣ 7  </t>
    </r>
    <r>
      <rPr>
        <sz val="14"/>
        <rFont val="Arial"/>
        <family val="2"/>
        <charset val="161"/>
      </rPr>
      <t xml:space="preserve">Έσοδα-Έξοδα ΔΕΚΟ, ΝΠΙΔ και Ειδικών Λογαριασμών που εφαρμόζουν το Ελληνικό Λογιστικό Σχέδιο </t>
    </r>
  </si>
  <si>
    <t>ΕΠΩΝΥΜΙΑ ΝΠΙΔ</t>
  </si>
  <si>
    <t>ΑΦΜ</t>
  </si>
  <si>
    <t>ΗΛΕΚ/ΚΟ ΤΑΧΥΔΡΟΜΕΙΟ</t>
  </si>
  <si>
    <t>ΤΗΛΕΦΩΝΟ ΕΠΙΚΟΙΝΩΝΙΑΣ</t>
  </si>
  <si>
    <t>ΕΠΟΠΤΕΥΟΝ ΥΠΟΥΡΓΕΙΟ</t>
  </si>
  <si>
    <t xml:space="preserve">ποσά σε ευρώ (χωρίς δεκαδικά) </t>
  </si>
  <si>
    <t>ΒΑΣΙΚΑ ΟΙΚΟΝΟΜΙΚΑ ΜΕΓΕΘΗ</t>
  </si>
  <si>
    <t>EΝΔΕΙΚΤΙΚΗ ΣΥΣΧΕΤΙΣΗ ΜΕ ΛΟΓΑΡΙΑΣΜΟΥΣ ΕΓΛΣ</t>
  </si>
  <si>
    <t>ΑΠΟΛΟΓΙΣΜΟΣ 2019</t>
  </si>
  <si>
    <t>ΑΡΧΙΚΟΣ ΠΡΟΫΠΟΛΟΓΙΣΜΟΣ 2020</t>
  </si>
  <si>
    <t>ΔΙΑΜΟΡΦΩΣΗ 2020 (ΑΡΧΙΚΟΣ ΠΥ+ ΑΝΑΘΕΩΡΗΣΕΙΣ)</t>
  </si>
  <si>
    <t>ΕΚΤΕΛΕΣΗ 
Α' ΕΞΑΜΗΝΟΥ ΠΡΟΫΠΟΛΟΓΙΣΜΟΥ  2020</t>
  </si>
  <si>
    <t>ΕΚΤΙΜΗΣΕΙΣ ΠΡΑΓΜΑΤΟΠΟΙΗΣΕΩΝ ΔΩΔΕΚΑΜΗΝΟΥ        2020 *</t>
  </si>
  <si>
    <t>ΕΚΤΙΜΗΣΕΙΣ ΠΡΑΓΜΑΤΟΠΟΙΗΣΕΩΝ ΔΩΔΕΚΑΜΗΝΟΥ 2020 ΓΙΑ ΛΗΨΗ ΜΕΤΡΩΝ ΠΡΟΣΤΑΣΙΑΣ ΑΠΟ COVID-19 **</t>
  </si>
  <si>
    <t>ΠΡΟΫΠΟΛΟΓΙΣΜΟΣ 2021</t>
  </si>
  <si>
    <t>Ι.ΕΣΟΔΑ (=1+2+3+4+5+6+7)</t>
  </si>
  <si>
    <t>1. Πωλήσεις (=α+β)</t>
  </si>
  <si>
    <t xml:space="preserve">α) Πωλήσεις εμπορευμάτων Προϊόντων, λοιπών αποθεμάτων και άχρηστου υλικού </t>
  </si>
  <si>
    <t>70+71+72</t>
  </si>
  <si>
    <t>β) Πωλήσεις υπηρεσιών</t>
  </si>
  <si>
    <t>2. Επιχορηγήσεις (=γ+δ+ε+στ)</t>
  </si>
  <si>
    <t>γ) Τακτικού Προϋπολογισμού</t>
  </si>
  <si>
    <t>74.96</t>
  </si>
  <si>
    <t>δ) Εγκεκριμένοι Πόροι ΠΔΕ (βάσει ήδη υπογεγραμμένων ΣΑΕ)</t>
  </si>
  <si>
    <r>
      <t>41.10 ή 43.00</t>
    </r>
    <r>
      <rPr>
        <sz val="10"/>
        <color rgb="FFFF0000"/>
        <rFont val="Arial"/>
        <family val="2"/>
        <charset val="161"/>
      </rPr>
      <t>*</t>
    </r>
  </si>
  <si>
    <t>ε) Ε.Ε.</t>
  </si>
  <si>
    <t>43.04 ή 74.08</t>
  </si>
  <si>
    <t>στ) Λοιπές</t>
  </si>
  <si>
    <t>ΛΟΙΠΑ 74 ΚΑΙ ΠΛΗΡΩΜΕΣ ΑΠO ΤΟ ΚΡΑΤΟΣ ΓΙΑ ΛΟΓΑΡΙΑΣΜΟ ΣΑΣ ΤΟΚΟΧΡΕΟΛΥΣΙΩΝ ΛΟΓΩ ΕΓΓΥΗΣΕΩΝ, ΑΝΑΛΗΨΗ ΔΑΝΕΙΑΚΩΝ ΚΑΙ ΛΟΙΠΩΝ ΥΠΟΧΡΕΩΣΕΩΝ ΣΑΣ ΑΠΟ ΤΟ ΚΡΑΤΟΣ, ΑΥΞΗΣΕΙΣ ΜΕΤΟΧΙΚΟΥ ΚΕΦΑΛΑΙΟΥ ΠΛΗΝ ΠΕΡΙΠΤΩΣΕΩΝ ΠΔΕ ΚΑΙ ΤΑΚΤΙΚΟΥ Π/Υ</t>
  </si>
  <si>
    <t>3. Έσοδα παρεπόμενων ασχολιών</t>
  </si>
  <si>
    <t>4. Έσοδα Κεφαλαίων  (Τόκοι Πιστωτικοί)</t>
  </si>
  <si>
    <t>76 ΠΛΗΝ 76.04</t>
  </si>
  <si>
    <t>5. Ιδιοπαραγωγή παγίων</t>
  </si>
  <si>
    <t>78 ΠΛΗΝ 78.05</t>
  </si>
  <si>
    <t>6. Λοιπά Έσοδα</t>
  </si>
  <si>
    <t>82.01 ΚΑΙ ΛΟΙΠΑ ΕΣΟΔΑ ΠΟΥ ΔΕΝ ΤΑΞΙΝΟΜΟΥΝΤΑΙ ΣΤΙΣ ΑΛΛΕΣ ΚΑΤΗΓΟΡΙΕΣ</t>
  </si>
  <si>
    <t>7. Έκτακτα και Ανόργανα Έσοδα</t>
  </si>
  <si>
    <t>81.01 (ΠΛΗΝ 81.01.04 ΚΑΙ 81.01.05)</t>
  </si>
  <si>
    <t>ΙΙ.ΕΞΟΔΑ (=8+9+10+11+12+13+14+15+16)</t>
  </si>
  <si>
    <t>8. Αμοιβές και Έξοδα Προσωπικού (=ζ+η+θ)</t>
  </si>
  <si>
    <t>60 ΠΛΗΝ 60.05</t>
  </si>
  <si>
    <t>ζ) Αμοιβές έμμισθου και ημερομίσθιου προσωπικού</t>
  </si>
  <si>
    <t>60.00 ΕΩΣ 60.01</t>
  </si>
  <si>
    <t>η) Εργοδοτικές εισφορές και επιβαρύνσεις έμμισθου και ημερομίσθιου προσωπικού</t>
  </si>
  <si>
    <t>60.03 ΕΩΣ 60.04</t>
  </si>
  <si>
    <t xml:space="preserve">θ) Παρεπόμενες παροχές και έξοδα προσωπικού </t>
  </si>
  <si>
    <t>60.02</t>
  </si>
  <si>
    <t>9. Αμοιβές και Έξοδα Τρίτων</t>
  </si>
  <si>
    <t>10. Παροχές Τρίτων</t>
  </si>
  <si>
    <t>Εκ των οποίων Ηλεκτικό Ρεύμα -φωταέριο -Ύδρευση-Τηλεπικοινωνίες</t>
  </si>
  <si>
    <t xml:space="preserve">62.00 ΕΩΣ 62.03 </t>
  </si>
  <si>
    <t xml:space="preserve"> Εκ των οποίων Ενοίκια </t>
  </si>
  <si>
    <t>62.04</t>
  </si>
  <si>
    <t>Εκ των οποίων  Ασφάλιστρα</t>
  </si>
  <si>
    <t>62.05</t>
  </si>
  <si>
    <t>Εκ των οποίων Επισκευές και Συντηρήσεις</t>
  </si>
  <si>
    <t>62.07</t>
  </si>
  <si>
    <t>11. Φόροι (συμπεριλαμβανομένου και φόρου εισοδήματος χρήσης)</t>
  </si>
  <si>
    <t>63 + 54.08 (ή 88.08)+88.09</t>
  </si>
  <si>
    <t>Εκ των οποίων Φόρος Εισοδήματος Χρήσης</t>
  </si>
  <si>
    <t>54.08 (ή 88.08)+88.09</t>
  </si>
  <si>
    <r>
      <t>12. Διάφορα Έξοδα</t>
    </r>
    <r>
      <rPr>
        <b/>
        <vertAlign val="superscript"/>
        <sz val="10"/>
        <color indexed="8"/>
        <rFont val="Arial"/>
        <family val="2"/>
        <charset val="161"/>
      </rPr>
      <t xml:space="preserve"> </t>
    </r>
  </si>
  <si>
    <t>60.05+[64 ΠΛΗΝ 64.11 ΚΑΙ 64.12]+82.00+88.06+ 53.01
+ΠΛΗΡΩΜΕΣ ΠΡΟΒΛΕΨΕΩΝ [44 χρέωση (ΠΛΗΝ 44.14 ΚΑΙ 44.15) ΜΕΙΟΝ 84 έσοδο ΜΕΙΟΝ 78.05] KAI 67 και λοιπά έξοδα που δεν έχουν ταξινομηθεί σε άλλες κατηγορίες</t>
  </si>
  <si>
    <t>Εκ των οποίων Μεταβιβάσεις Εισοδημάτων σε Τρίτους (δωρεές, επιχορηγήσεις)</t>
  </si>
  <si>
    <t>64.06 (ή 67**)</t>
  </si>
  <si>
    <t xml:space="preserve">13. Τόκοι και συναφή έξοδα </t>
  </si>
  <si>
    <t>65 ΚΑΙ 16.18</t>
  </si>
  <si>
    <t>Εκ των οποίων δαπάνες προμηθειών πληρωτέες στο κράτος επί των δανείων που έχουν ληφθεί με την εγγύηση του Ελληνικού Δημοσίου</t>
  </si>
  <si>
    <t>14. Έκτακτα και Ανόργανα Έξοδα</t>
  </si>
  <si>
    <t>81.00 ΠΛΗΝ 81.00.03 ΚΑΙ 81.00.04</t>
  </si>
  <si>
    <t>15. Καθαρή Κτήση Παγίων (ομάδα 1). Η διαφορά μεταξύ αγορών και πωληθέντων παγίων κατά τη χρήση.</t>
  </si>
  <si>
    <t>[10-16] (ΑΓΟΡΕΣ-ΠΩΛΗΣΕΙΣ) ΠΛΗΝ 16.18</t>
  </si>
  <si>
    <t>Εκ των οποίων έπιπλα και λοιπός εξοπλισμός</t>
  </si>
  <si>
    <t xml:space="preserve">[14] </t>
  </si>
  <si>
    <t>16. Αγορές χρήσης (ομάδα 2). Η ομάδα 2 εξοδοποιείται με βάση τις αγορές και όχι την αρχή συσχέτισης εσόδου-εξόδου ή της ανάλωσης των αποθεμάτων.</t>
  </si>
  <si>
    <t>[20-28]</t>
  </si>
  <si>
    <t>ΙΣΟΖΥΓΙΟ (=Ι-ΙΙ)</t>
  </si>
  <si>
    <r>
      <rPr>
        <b/>
        <sz val="12"/>
        <rFont val="Calibri"/>
        <family val="2"/>
        <charset val="161"/>
      </rPr>
      <t>*</t>
    </r>
    <r>
      <rPr>
        <b/>
        <sz val="12"/>
        <rFont val="Arial"/>
        <family val="2"/>
        <charset val="161"/>
      </rPr>
      <t xml:space="preserve"> Συμπεριλαμβάνονται εκτιμήσεις εσόδων - εξόδων για την αντιμετώπιση των συνεπειών από τον COVID-19</t>
    </r>
  </si>
  <si>
    <r>
      <rPr>
        <b/>
        <sz val="12"/>
        <rFont val="Calibri"/>
        <family val="2"/>
        <charset val="161"/>
        <scheme val="minor"/>
      </rPr>
      <t>**</t>
    </r>
    <r>
      <rPr>
        <b/>
        <sz val="12"/>
        <rFont val="Arial"/>
        <family val="2"/>
        <charset val="161"/>
      </rPr>
      <t xml:space="preserve"> Η στήλη Η αποτελεί υποσύνολο της στήλης G</t>
    </r>
  </si>
  <si>
    <t>*  Δεν αφορά καταθέσεις μετόχων, αλλά τους ειδικούς λογαριασμούς για επιχορηγήσεις επενδύσεων.  67**  Παροχές -Χορηγίες- Επιχορηγήσεις -Επιδοτήσεις (αφορά τους Ειδικούς Λογιαριασμούς)</t>
  </si>
  <si>
    <t>ΠΡΟΣΘΕΤΑ ΧΡΗΜΑΤΟΟΙΚΟΝΟΜΙΚΑ ΣΤΟΙΧΕΙΑ</t>
  </si>
  <si>
    <t xml:space="preserve">Περιγραφές Λογαριασμών </t>
  </si>
  <si>
    <t xml:space="preserve">ΕΙΣΡΟΕΣ </t>
  </si>
  <si>
    <t xml:space="preserve">1.Εισπράξεις από δάνεια </t>
  </si>
  <si>
    <t>45.00 έως 45.13               (ΠΙΣΤΩΣΗ ΧΡΗΣΗΣ)</t>
  </si>
  <si>
    <t xml:space="preserve">2.Εισπράξεις από πωλήσεις χρεωγράφων, ομολόγων, κλπ. </t>
  </si>
  <si>
    <t>3. Έκτακτη επιχορήγηση για την εξόφληση των ληξιπρόθεσμων υποχρεώσεων βάσει νομοθετικής ρύθμισης</t>
  </si>
  <si>
    <t>ΕΚΡΟΕΣ</t>
  </si>
  <si>
    <t>4. Πληρωμές χρεολυσίων</t>
  </si>
  <si>
    <t>45.00 έως 45.13                (ΧΡΕΩΣΗ ΧΡΗΣΗΣ)</t>
  </si>
  <si>
    <t xml:space="preserve">5.Αγορές χρεωγράφων, ομολόγων, κλπ. </t>
  </si>
  <si>
    <t>6. Εξόφληση ληξιπρόθεσμων οφειλών από την ειδική επιχορήγηση βάσει της  νομοθετικής ρύθμισης</t>
  </si>
  <si>
    <t>ΛΟΙΠΕΣ ΠΛΗΡΟΦΟΡΙΕΣ</t>
  </si>
  <si>
    <t>7.Πληρωμές από το κράτος τοκοχρεολυσίων του φορέα σας λόγω εγγυήσεων (=α+β)</t>
  </si>
  <si>
    <t>α) Πληρωμές τόκων</t>
  </si>
  <si>
    <t>β) Πληρωμές χρεολυσίων</t>
  </si>
  <si>
    <t xml:space="preserve">8.Αναλήψεις από το κράτος δανειακών υποχρεώσεών σας </t>
  </si>
  <si>
    <t>9.Αναλήψεις από το κράτος λοιπών υποχρεώσεών σας (πλην δανειακών)</t>
  </si>
  <si>
    <t>10.Αυξήσεις μετοχικού κεφαλαίου με κεφάλαια μετόχων από τακτικό προϋπολογισμό</t>
  </si>
  <si>
    <t>11.Ταμειακές διευκολύνσεις από το Κράτος</t>
  </si>
  <si>
    <r>
      <rPr>
        <b/>
        <sz val="12"/>
        <rFont val="Calibri"/>
        <family val="2"/>
        <charset val="161"/>
      </rPr>
      <t>*</t>
    </r>
    <r>
      <rPr>
        <b/>
        <sz val="12"/>
        <rFont val="Arial"/>
        <family val="2"/>
        <charset val="161"/>
      </rPr>
      <t xml:space="preserve"> Συμπεριλαμβάνονται εκτιμήσεις εισροών-εκροών για την αντιμετώπιση των συνεπειών από τον COVID-19</t>
    </r>
  </si>
  <si>
    <t>ΣΤΟΙΧΕΙΑ ΙΣΟΛΟΓΙΣΜΟΥ</t>
  </si>
  <si>
    <t>31/12/2020 (εκτίμηση)</t>
  </si>
  <si>
    <t>ΕΝΕΡΓΗΤΙΚΟ (σύμφωνα με τα λογιστικά βιβλία)</t>
  </si>
  <si>
    <t>Διαθέσιμα (α+β+γ)</t>
  </si>
  <si>
    <t>α) Ταμείο (μετρητά και επιταγές)</t>
  </si>
  <si>
    <t xml:space="preserve">     Από πόρους του ΠΔΕ</t>
  </si>
  <si>
    <t xml:space="preserve">     Από λοιπούς πόρους </t>
  </si>
  <si>
    <t>β) Καταθέσεις στη Τράπεζα της Ελλάδος</t>
  </si>
  <si>
    <t>γ) Καταθέσεις στις λοιπές τράπεζες</t>
  </si>
  <si>
    <t xml:space="preserve">      Από πόρους του ΠΔΕ</t>
  </si>
  <si>
    <t>Χρεόγραφα (α+β+γ)</t>
  </si>
  <si>
    <t>α) Τίτλοι Ελληνικού Δημοσίου (έντοκα γραμμάτια και ομόλογα)</t>
  </si>
  <si>
    <t>β) Λοιπά ομόλογα (ομόλογα εταιρειών, τραπεζών, κλπ)</t>
  </si>
  <si>
    <t>γ) Μετοχές - λοιπές συμμετοχές - μερίδια αμοιβαίων κεφαλαίων</t>
  </si>
  <si>
    <t>Απαιτήσεις</t>
  </si>
  <si>
    <t>α) από φορείς εντός Γενικής Κυβέρνησης (κράτος και λοιπούς φορείς ΓΚ)</t>
  </si>
  <si>
    <t>β) από φορείς εκτός ΓΚ</t>
  </si>
  <si>
    <t>ΠΑΘΗΤΙΚΟ (σύμφωνα με τα λογιστικά βιβλία)</t>
  </si>
  <si>
    <t>Δάνεια από πιστωτικά ιδρύματα και Οργανισμούς</t>
  </si>
  <si>
    <t>α) Δάνεια εσωτερικού</t>
  </si>
  <si>
    <t>β) Δάνεια εξωτερικού</t>
  </si>
  <si>
    <t>Λοιπές υποχρεώσεις</t>
  </si>
  <si>
    <t>α) σε φορείς εντός Γενικής Κυβέρνησης (κράτος και λοιπούς φορείς ΓΚ)</t>
  </si>
  <si>
    <t>β) σε φορείς εκτός ΓΚ</t>
  </si>
  <si>
    <t>ΣΤΟΙΧΕΙΑ ΠΡΟΣΩΠΙΚΟΥ</t>
  </si>
  <si>
    <t>Αριθμός ατόμων που βαρύνουν τη μισθοδοσία του λογ/μού  60</t>
  </si>
  <si>
    <t>Αριθμός μόνιμου προσωπικού &amp; ιδιωτικού δικαίου αορίστου χρόνου</t>
  </si>
  <si>
    <t>Αριθμός προσωπικού ιδιωτικού δικαίου ορισμένου χρόνου</t>
  </si>
  <si>
    <t>Αριθμός προσωπικού με έμμισθη εντολή</t>
  </si>
  <si>
    <t>Ημερομηνία</t>
  </si>
  <si>
    <t>Ο υπεύθυνος υπάλληλος</t>
  </si>
  <si>
    <t xml:space="preserve">Ο προϊστάμενος Οικονομικής Υπηρεσίας </t>
  </si>
  <si>
    <t>ΠΙΝΑΚΑΣ ΣΥΜΦΩΝΙΑΣ για ΔΕΚΟ</t>
  </si>
  <si>
    <t>(Δεν συμπληρώνεται. Υπολογίζεται αυτόματα)</t>
  </si>
  <si>
    <t>ΕΣΟΔΑ - ΕΞΟΔΑ (εκτός Χρηματοοικονομικών Συναλλαγών)</t>
  </si>
  <si>
    <t>ΠΕΡΙΓΡΑΦΗ</t>
  </si>
  <si>
    <t>ΕΣΟΔΑ</t>
  </si>
  <si>
    <t>Πωλήσεις</t>
  </si>
  <si>
    <t>Τόκοι</t>
  </si>
  <si>
    <t>Επιχορηγήσεις από Τακτ. Προϋπ/σμό (πλην αυξήσεων μτχ κεφαλαίου από τακτικό προυπ.)</t>
  </si>
  <si>
    <t>Επιχορηγήσεις από ΠΔΕ</t>
  </si>
  <si>
    <t>Λοιπά έσοδα</t>
  </si>
  <si>
    <t>ΕΞΟΔΑ</t>
  </si>
  <si>
    <t>Αμοιβές προσωπικού</t>
  </si>
  <si>
    <t>Δαπάνες για επενδύσεις</t>
  </si>
  <si>
    <t>Λοιπά έξοδα</t>
  </si>
  <si>
    <t xml:space="preserve">1.ΑΠΟΤΕΛΕΣΜΑ ΧΡΗΣΗΣ προ καταπτώσεων εγγυήσεων και αυξήσεων μετοχικού κεφαλαίου έλλειμμα (-) πλεόνασμα (+) </t>
  </si>
  <si>
    <t>2. ΕΣΟΔΑ ΑΠΟ ΤΟ ΚΡΑΤΟΣ</t>
  </si>
  <si>
    <t>Από καταπτώσεις εγγυήσεων</t>
  </si>
  <si>
    <t>Από συμμετοχή σε αυξήσεις μετοχικού κεφαλαίου από τακτικό προϋπολογισμό</t>
  </si>
  <si>
    <t xml:space="preserve">3.= (1+2):.ΑΠΟΤΕΛΕΣΜΑ ΧΡΗΣΗΣ μετά καταπτώσεων εγγυήσεων και αυξήσεων μετοχικού κεφαλαίου έλλειμμα (-) πλεόνασμα (+) </t>
  </si>
  <si>
    <t>ΠΙΝΑΚΑΣ ΣΥΜΦΩΝΙΑΣ για λοιπά ΝΠΙΔ (εκτός ΔΕΚΟ)</t>
  </si>
  <si>
    <t xml:space="preserve">ΕΚΤΙΜΗΣΕΙΣ ΠΡΑΓΜΑΤΟΠΟΙΗΣΕΩΝ ΔΩΔΕΚΑΜΗΝΟΥ        2020 </t>
  </si>
  <si>
    <t>ΕΚΤΙΜΗΣΕΙΣ ΠΡΑΓΜΑΤΟΠΟΙΗΣΕΩΝ ΔΩΔΕΚΑΜΗΝΟΥ 2020 ΓΙΑ ΛΗΨΗ ΜΕΤΡΩΝ ΠΡΟΣΤΑΣΙΑΣ ΑΠΟ COVID-19*</t>
  </si>
  <si>
    <t>Έσοδα υπέρ τρίτων</t>
  </si>
  <si>
    <t>Επιχορηγήσεις από Τακτ. Προϋπ/σμό</t>
  </si>
  <si>
    <t>Αποδόσεις εσόδων υπέρ τρίτων</t>
  </si>
  <si>
    <t>Λοιπές μεταβιβάσεις</t>
  </si>
  <si>
    <t>ΑΠΟΤΕΛΕΣΜΑ (ΙΣΟΖΥΓΙΟ) έλλειμμα (-) πλεόνασμα (+)</t>
  </si>
  <si>
    <r>
      <rPr>
        <b/>
        <sz val="12"/>
        <rFont val="Calibri"/>
        <family val="2"/>
        <charset val="161"/>
        <scheme val="minor"/>
      </rPr>
      <t>*</t>
    </r>
    <r>
      <rPr>
        <b/>
        <sz val="12"/>
        <rFont val="Arial"/>
        <family val="2"/>
        <charset val="161"/>
      </rPr>
      <t xml:space="preserve"> Η στήλη Η αποτελεί υποσύνολο της στήλης G</t>
    </r>
  </si>
  <si>
    <t>Έκθεση σε περίπτωση συνολικής απόκλισης (άνω του 5%) του προϋπολογισμού οικ. έτους 2021  σε σχέση με τον απολογισμό του οικ. έτους 2019</t>
  </si>
  <si>
    <t>ΠΑΡΑΤΗΡΗΣΕΙΣ ΣΧΟΛΙΑ</t>
  </si>
  <si>
    <t>Ο Προϊστάμενος Οικονομικής Υπηρεσίας</t>
  </si>
  <si>
    <t>ΠΡΟΓΡΑΜΜΑ</t>
  </si>
  <si>
    <t xml:space="preserve">ΠΡΟΥΠΟΛΟΓΙΣΜΟΣ ΕΡΓΟΥ </t>
  </si>
  <si>
    <t>ΕΣΟΔΑ 2017</t>
  </si>
  <si>
    <t>ΕΞΟΔΑ 2017</t>
  </si>
  <si>
    <t>ΕΣΟΔΑ 2018</t>
  </si>
  <si>
    <t>ΜΕΙΩΣΕΙΣ-ΑΥΞΗΣΕΙΣ</t>
  </si>
  <si>
    <t>ΕΞΟΔΑ 2018</t>
  </si>
  <si>
    <t>ΕΣΟΔΑ 2019</t>
  </si>
  <si>
    <t>ΕΞΟΔΑ 2019</t>
  </si>
  <si>
    <t>απολογισμος εσοδων 2019</t>
  </si>
  <si>
    <t>απολογισμος εξοδων 2019</t>
  </si>
  <si>
    <t>ΕΣΟΔΑ 2020</t>
  </si>
  <si>
    <t>ΕΞΟΔΑ 2020</t>
  </si>
  <si>
    <t>ΕΣΟΔΑ 2021</t>
  </si>
  <si>
    <t>ΕΞΟΔΑ 2021</t>
  </si>
  <si>
    <t>ΕΣΟΔΑ 2022</t>
  </si>
  <si>
    <t>ΕΞΟΔΑ 2022</t>
  </si>
  <si>
    <t>ΕΣΟΔΑ 2023</t>
  </si>
  <si>
    <t>ΕΞΟΔΑ 2023</t>
  </si>
  <si>
    <t>ΕΣΟΔΑ 2024</t>
  </si>
  <si>
    <t>ΕΞΟΔΑ 2024</t>
  </si>
  <si>
    <t>ΕΣΟΔΑ 2025</t>
  </si>
  <si>
    <t>ΕΞΟΔΑ 2025</t>
  </si>
  <si>
    <t xml:space="preserve">ΣΥΝΟΛΟ ΕΣΟΔΩΝ ΕΡΓΟΥ </t>
  </si>
  <si>
    <t xml:space="preserve">ΣΥΝΟΛΟ ΕΞΟΔΩΝ ΕΡΓΟΥ </t>
  </si>
  <si>
    <t>ΠΡΟΓΡΑΜΜΑ ΕΘΝΙΚΗΣ ΤΡΑΠΕΖΑΣ</t>
  </si>
  <si>
    <t>ΚΛΗΡΟΔΟΤΗΜΑ ΝΙΚ.ΧΡΥΣΟΒΕΡΓΗ (ΕΓΚΡΙΣΗ ΑΠΌ ΥΠ.ΟΙΚΟΝΟΜΙΚΩΝ )</t>
  </si>
  <si>
    <t>ΚΛΗΡΟΔΟΤΗΜΑ ΚΛ.ΤΣΟΥΡΙΔΗ  (ΕΓΚΡΙΣΗ ΑΠΌ ΑΠΟΚ.ΔΙΟΙΚΗΣΗ ΜΑΚΕΔΟΝΙΑΣ ΘΡΑΚΗΣ )</t>
  </si>
  <si>
    <t>ΚΛΗΡΟΔΟΤΗΜΑ Λ.ΝΙΚΟΛΑΙΔΗ (ΕΓΚΡΙΣΗ ΑΠΌ ΠΕΡΙΦΕΡΕΙΑ ΑΤΤΙΚΗΣ ΓΡΑΦΕΙΟ ΕΘΝΙΚΩΝ ΚΛΗΡΟΔΟΤΗΜΑΤΩΝ )</t>
  </si>
  <si>
    <t>ΚΛΗΡΟΔΟΤΗΜΑ Μ.ΖΑΟΥΣΗ (ΕΓΚΡΙΣΗ ΑΠΌ ΠΕΡΙΦΕΡΕΙΑ ΑΤΤΙΚΗΣ ΓΡΑΦΕΙΟ ΕΘΝΙΚΩΝ ΚΛΗΡΟΔΟΤΗΜΑΤΩΝ )</t>
  </si>
  <si>
    <t>ΚΛΗΡΟΔΟΤΗΜΑ ΑΛ.ΧΑΤΖΟΠΟΥΛΟΥ  (ΕΓΚΡΙΣΗ ΑΠΌ ΠΕΡΙΦΕΡΕΙΑ ΑΤΤΙΚΗΣ ΓΡΑΦΕΙΟ ΕΘΝΙΚΩΝ ΚΛΗΡΟΔΟΤΗΜΑΤΩΝ )</t>
  </si>
  <si>
    <t>ΚΛΗΡΟΔΟΤΗΜΑ Φ.ΣΑΡΙΓΙΑΝΝΗ (ΕΓΚΡΙΣΗ ΑΠΌ ΠΕΡΙΦΕΡΕΙΑ ΑΤΤΙΚΗΣ ΓΡΑΦΕΙΟ ΕΘΝΙΚΩΝ ΚΛΗΡΟΔΟΤΗΜΑΤΩΝ )</t>
  </si>
  <si>
    <t>ΚΛΗΡΟΔΟΤΗΜΑ Π.ΘΕΟΔΩΡΙΔΗ  (ΕΓΚΡΙΣΗ ΑΠΌ ΥΠ.ΟΙΚΟΝΟΜΙΚΩΝ )</t>
  </si>
  <si>
    <t>ΠΡΟΓΡΑΜΜΑ   ΕΣΠΑ ΜΙΣ500432</t>
  </si>
  <si>
    <t>ΠΡΟΓΡΑΜΜΑ   ΕΣΠΑ ΜΙΣ500432 ΥΠΟΣΤΗΡΙΞΗ</t>
  </si>
  <si>
    <t>ΠΡΟΓΡΑΜΜΑ ΕΣΠΑ ΜΙΣ 5001552</t>
  </si>
  <si>
    <t>ΠΡΟΓΡΑΜΜΑ ΕΣΠΑ ΜΙΣ 5033021 ΜΕΤΑΔΙΔΑΚΤΟΡΕΣ B KYKLOS</t>
  </si>
  <si>
    <t>ΠΡΟΓΡΑΜΜΑ ΕΣΠΑ ΜΙΣ 5033021 ΜΕΤΑΔΙΔΑΚΤΟΡΕΣ B KYKLOS ΥΠΟΣΤΗΡΙΞΗ</t>
  </si>
  <si>
    <t>ΠΡΟΓΡΑΜΜΑ ΕΣΠΑ ΜΙΣ5003404</t>
  </si>
  <si>
    <t>ΠΡΟΓΡΑΜΜΑ ΕΣΠΑ5002899</t>
  </si>
  <si>
    <t xml:space="preserve">ΠΡΟΓΡΑΜΜΑ ΕΣΠΑ ΜΙΣ5045954 ECO Γ ΚΥΚΛΟΣ </t>
  </si>
  <si>
    <t>ΠΡΟΓΡΑΜΜΑ ΕΣΠΑ 5026728 (ECO)</t>
  </si>
  <si>
    <t>ΠΡΟΓΡΑΜΜΑ ΕΣΠΑ 5026728 (ECO)ΥΠΟΕΡΓΟ1</t>
  </si>
  <si>
    <t>ΠΡΟΓΡΑΜΜΑ ΕΣΠΑ 5026728 (ECO)ΥΠΟΕΡΓΟ2</t>
  </si>
  <si>
    <t xml:space="preserve">ΥΠΟΛΟΙΠΑ ΙΚΥ </t>
  </si>
  <si>
    <t>ΠΡΟΓΡΑΜΜΑ ΣΤΡΑΤΗΓΙΚΟΣ ΣΧΕΔΙΑΣΜΟΣ</t>
  </si>
  <si>
    <t>ΠΡΟΓΡΑΜΜΑ ΔΙΑΣΥΝΔΕΣΗΣ ΥΠΟΤΡΟΦΩΝ ΜΕ ΤΟΝ ΕΠΙΧΕΙΡΗΜΑΤΙΚΟ ΚΟΣΜΟ</t>
  </si>
  <si>
    <t>ΠΡΟΓΡΑΜΜΑ ΣΥΜΒΟΛΗΣ ΥΠΟΤΡΟΦΙΩΝ ΙΚΥ ΣΤΗΝ ΕΕΚ</t>
  </si>
  <si>
    <t xml:space="preserve">ΠΡΟΓΡΑΜΜΑ ΥΠΟΣΤΗΡΙΞΗΣ ΚΑΙ ΔΙΑΧΕΙΡΙΣΗΣ ΕΡΓΩΝ ΙΚΥ </t>
  </si>
  <si>
    <t>ΕΠΕΚΤΑΣΗ ΤΟΥ ΕΥΡΩΠΑΙΚΟΥ ΠΡΟΓΡΑΜΜΑΤΟΣ ROLE MODELS</t>
  </si>
  <si>
    <t>ERASMUS+ 2015-0082</t>
  </si>
  <si>
    <t>ERASMUS+ 2016-0017</t>
  </si>
  <si>
    <t>ERASMUS+ 2017-0016</t>
  </si>
  <si>
    <t>ERASMUS+ 2018-</t>
  </si>
  <si>
    <t>ΕΥΡΩΠΑΙΚΟ ΠΡΟΓΡΑΜΜΑ EPALE</t>
  </si>
  <si>
    <t>ΠΡΟΓΡΑΜΜΑ ΕΥΡΙΔΙΚΗ (Σύμβαση 2019 ΥΠΠΕΘ με Ε.Ε )</t>
  </si>
  <si>
    <t xml:space="preserve">ΣΥΝΟΛΑ </t>
  </si>
  <si>
    <t xml:space="preserve">Μαρία  Νικητάκη </t>
  </si>
  <si>
    <t>ΕΡΓΟ</t>
  </si>
  <si>
    <t>14 ΝΈΟ</t>
  </si>
  <si>
    <t>16 νέο</t>
  </si>
  <si>
    <t xml:space="preserve">34 ΑΓΟΡΕΣ ΧΡΕΩΓΡΑΦΩΝ </t>
  </si>
  <si>
    <t>60 ΑΜΟΙΒΕΣ</t>
  </si>
  <si>
    <t>ΑΛΛΑΓΗ60</t>
  </si>
  <si>
    <t>60.03</t>
  </si>
  <si>
    <t>60.05</t>
  </si>
  <si>
    <t>ΑΛΛΑΓΗ61</t>
  </si>
  <si>
    <t>ΑΛΛΑΓΗ62</t>
  </si>
  <si>
    <t>ΑΛΛΑΓΗ 64</t>
  </si>
  <si>
    <t>ΑΛΛΑΓΗ 67</t>
  </si>
  <si>
    <t>81 ΛΟΙΠΑ ΕΞΟΔΑ</t>
  </si>
  <si>
    <t>82.01</t>
  </si>
  <si>
    <t xml:space="preserve">70.94 ΕΣΟΔΑ ΠΩΛΗΣΗΣ ΑΚΙΝΗΤΟΥ </t>
  </si>
  <si>
    <t>74 .08 erasmus</t>
  </si>
  <si>
    <t>75 ΜΙΣΘΩΜΑΤΑ</t>
  </si>
  <si>
    <t>76 ΤΟΚΟΙ</t>
  </si>
  <si>
    <t>76.00</t>
  </si>
  <si>
    <t>76.04 ΕΙΣΠΡ.ΑΠΟ  ΠΩΛΗΣΗ ΧΡΕΩΓΡΑΦΑ</t>
  </si>
  <si>
    <t>81 ΛΟΙΠΑ ΕΣΟΔΑ</t>
  </si>
  <si>
    <t>ΑΛΛΑΓΗ 43</t>
  </si>
  <si>
    <t>ΣΥΝΟΛΟ ΕΣΟΔΑ</t>
  </si>
  <si>
    <t>ΣΥΝΟΛΟ ΕΞΟΔΑ</t>
  </si>
  <si>
    <t xml:space="preserve">ΔΙΑΦΟΡΑ  </t>
  </si>
  <si>
    <t>ΠΡΟΓΡΑΜΜΑ   ΕΣΠΑ 5003404</t>
  </si>
  <si>
    <t>ΠΡΟΓΡΑΜΜΑ   ΕΣΠΑ 5002899</t>
  </si>
  <si>
    <t xml:space="preserve">ΕΤΕ  λειτουργικα </t>
  </si>
  <si>
    <t xml:space="preserve">ΕΤΕ ΥΠΟΤΡΟΦΙΕΣ ΚΑΙ ΛΕΙΤΟΥΡΓΙΚΑ </t>
  </si>
  <si>
    <t>ΥΠΟΣΤΗΡΙΞΗ, ΔΙΑΧΕΙΡΙΣΗ ΕΡΓΩΝ 2018-2019</t>
  </si>
  <si>
    <t>ΕΠΙΣΤΡΟΦΗ</t>
  </si>
  <si>
    <t xml:space="preserve">ΕΠΙΣΤΡΟΦΗ </t>
  </si>
  <si>
    <t xml:space="preserve">ΠΡΟΓΡΑΜΜΑ ΕΣΠΑ ECO Δ ΚΥΚΛΟΣ </t>
  </si>
  <si>
    <t>ERASMUS 2019-0016</t>
  </si>
  <si>
    <t>ERASMUS 2020-0016</t>
  </si>
  <si>
    <t>ERASMUS 2021-0016</t>
  </si>
  <si>
    <t xml:space="preserve">ΙΔΡΥΜΑ ΚΡΑΤΙΚΩΝ ΥΠΟΤΡΟΦΙΩΝ </t>
  </si>
  <si>
    <t>΄09003350</t>
  </si>
  <si>
    <t>olkoula@iky.gr hpetropoulou@iky.gr</t>
  </si>
  <si>
    <t>2103726312  2103726309</t>
  </si>
  <si>
    <t xml:space="preserve">ΥΠΟΥΡΓΕΙΟ ΠΑΙΔΕΙΑΣ ΚΑΙ ΘΡΗΣΚΕΥΜΑΤΩΝ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</si>
</sst>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000"/>
    <numFmt numFmtId="165" formatCode="d/m/yyyy;@"/>
  </numFmts>
  <fonts count="46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Calibri"/>
      <family val="2"/>
      <charset val="161"/>
    </font>
    <font>
      <b/>
      <sz val="14"/>
      <name val="Arial"/>
      <family val="2"/>
      <charset val="161"/>
    </font>
    <font>
      <sz val="14"/>
      <name val="Arial"/>
      <family val="2"/>
      <charset val="161"/>
    </font>
    <font>
      <sz val="14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0"/>
      <color indexed="60"/>
      <name val="Arial"/>
      <family val="2"/>
      <charset val="161"/>
    </font>
    <font>
      <sz val="10"/>
      <color rgb="FFFF0000"/>
      <name val="Arial"/>
      <family val="2"/>
      <charset val="161"/>
    </font>
    <font>
      <b/>
      <vertAlign val="superscript"/>
      <sz val="10"/>
      <color indexed="8"/>
      <name val="Arial"/>
      <family val="2"/>
      <charset val="161"/>
    </font>
    <font>
      <sz val="10"/>
      <color indexed="60"/>
      <name val="Arial"/>
      <family val="2"/>
      <charset val="161"/>
    </font>
    <font>
      <b/>
      <sz val="12"/>
      <name val="Arial"/>
      <family val="2"/>
      <charset val="161"/>
    </font>
    <font>
      <b/>
      <sz val="12"/>
      <name val="Calibri"/>
      <family val="2"/>
      <charset val="161"/>
    </font>
    <font>
      <b/>
      <sz val="12"/>
      <name val="Calibri"/>
      <family val="2"/>
      <charset val="161"/>
      <scheme val="minor"/>
    </font>
    <font>
      <b/>
      <sz val="10"/>
      <color indexed="10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i/>
      <sz val="10"/>
      <color indexed="12"/>
      <name val="Arial"/>
      <family val="2"/>
      <charset val="161"/>
    </font>
    <font>
      <i/>
      <sz val="10"/>
      <color indexed="17"/>
      <name val="Arial"/>
      <family val="2"/>
      <charset val="161"/>
    </font>
    <font>
      <i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10"/>
      <name val="Arial"/>
      <family val="2"/>
      <charset val="161"/>
    </font>
    <font>
      <b/>
      <i/>
      <sz val="10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sz val="15"/>
      <name val="Arial"/>
      <family val="2"/>
      <charset val="161"/>
    </font>
    <font>
      <b/>
      <sz val="11"/>
      <name val="Arial"/>
      <family val="2"/>
      <charset val="161"/>
    </font>
    <font>
      <b/>
      <sz val="10"/>
      <color indexed="6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indexed="60"/>
      <name val="Calibri"/>
      <family val="2"/>
      <charset val="161"/>
    </font>
    <font>
      <b/>
      <sz val="8"/>
      <color indexed="60"/>
      <name val="Arial"/>
      <family val="2"/>
      <charset val="161"/>
    </font>
    <font>
      <b/>
      <sz val="8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8"/>
      <color indexed="60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0"/>
      </left>
      <right style="thin">
        <color indexed="60"/>
      </right>
      <top style="double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double">
        <color indexed="60"/>
      </top>
      <bottom style="thin">
        <color indexed="60"/>
      </bottom>
      <diagonal/>
    </border>
    <border>
      <left style="thin">
        <color indexed="60"/>
      </left>
      <right/>
      <top style="double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double">
        <color indexed="60"/>
      </top>
      <bottom style="thin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 style="thin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 style="double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double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 style="double">
        <color indexed="60"/>
      </bottom>
      <diagonal/>
    </border>
    <border>
      <left style="double">
        <color theme="9" tint="-0.499984740745262"/>
      </left>
      <right style="thin">
        <color theme="9" tint="-0.499984740745262"/>
      </right>
      <top style="double">
        <color theme="9" tint="-0.499984740745262"/>
      </top>
      <bottom style="thin">
        <color theme="9" tint="-0.499984740745262"/>
      </bottom>
      <diagonal/>
    </border>
    <border>
      <left style="double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double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uble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double">
        <color theme="9" tint="-0.499984740745262"/>
      </right>
      <top style="thin">
        <color theme="9" tint="-0.499984740745262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double">
        <color indexed="60"/>
      </left>
      <right style="thin">
        <color indexed="60"/>
      </right>
      <top style="thin">
        <color indexed="60"/>
      </top>
      <bottom/>
      <diagonal/>
    </border>
    <border>
      <left style="double">
        <color theme="9" tint="-0.499984740745262"/>
      </left>
      <right style="thin">
        <color theme="9" tint="-0.499984740745262"/>
      </right>
      <top style="thin">
        <color theme="9" tint="-0.499984740745262"/>
      </top>
      <bottom style="double">
        <color theme="9" tint="-0.499984740745262"/>
      </bottom>
      <diagonal/>
    </border>
    <border>
      <left style="thin">
        <color theme="9" tint="-0.499984740745262"/>
      </left>
      <right style="double">
        <color theme="9" tint="-0.499984740745262"/>
      </right>
      <top style="thin">
        <color theme="9" tint="-0.499984740745262"/>
      </top>
      <bottom style="double">
        <color theme="9" tint="-0.499984740745262"/>
      </bottom>
      <diagonal/>
    </border>
    <border>
      <left style="double">
        <color indexed="60"/>
      </left>
      <right style="thin">
        <color theme="9" tint="-0.499984740745262"/>
      </right>
      <top style="double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double">
        <color indexed="60"/>
      </right>
      <top style="double">
        <color theme="9" tint="-0.499984740745262"/>
      </top>
      <bottom style="thin">
        <color theme="9" tint="-0.499984740745262"/>
      </bottom>
      <diagonal/>
    </border>
    <border>
      <left style="double">
        <color indexed="60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double">
        <color indexed="60"/>
      </right>
      <top style="thin">
        <color theme="9" tint="-0.499984740745262"/>
      </top>
      <bottom style="thin">
        <color theme="9" tint="-0.499984740745262"/>
      </bottom>
      <diagonal/>
    </border>
    <border>
      <left style="double">
        <color indexed="6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double">
        <color indexed="60"/>
      </left>
      <right style="thin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theme="9" tint="-0.499984740745262"/>
      </left>
      <right style="double">
        <color indexed="60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indexed="60"/>
      </left>
      <right style="thin">
        <color theme="9" tint="-0.499984740745262"/>
      </right>
      <top style="thin">
        <color theme="9" tint="-0.499984740745262"/>
      </top>
      <bottom style="double">
        <color indexed="60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double">
        <color indexed="60"/>
      </bottom>
      <diagonal/>
    </border>
    <border>
      <left style="thin">
        <color theme="9" tint="-0.499984740745262"/>
      </left>
      <right style="double">
        <color indexed="60"/>
      </right>
      <top style="thin">
        <color theme="9" tint="-0.499984740745262"/>
      </top>
      <bottom style="double">
        <color indexed="60"/>
      </bottom>
      <diagonal/>
    </border>
    <border>
      <left style="double">
        <color indexed="60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0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theme="9" tint="-0.499984740745262"/>
      </left>
      <right style="double">
        <color indexed="60"/>
      </right>
      <top style="thin">
        <color theme="9" tint="-0.499984740745262"/>
      </top>
      <bottom/>
      <diagonal/>
    </border>
    <border>
      <left/>
      <right/>
      <top style="double">
        <color theme="9" tint="-0.499984740745262"/>
      </top>
      <bottom style="double">
        <color theme="9" tint="-0.499984740745262"/>
      </bottom>
      <diagonal/>
    </border>
    <border>
      <left/>
      <right style="double">
        <color indexed="60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double">
        <color indexed="58"/>
      </right>
      <top style="thin">
        <color indexed="58"/>
      </top>
      <bottom style="thin">
        <color indexed="5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4" fontId="2" fillId="0" borderId="0" xfId="1" applyNumberFormat="1" applyFont="1" applyAlignment="1" applyProtection="1">
      <alignment vertical="center"/>
    </xf>
    <xf numFmtId="3" fontId="2" fillId="0" borderId="0" xfId="1" applyNumberFormat="1" applyFont="1" applyAlignment="1" applyProtection="1">
      <alignment horizontal="center" vertical="center"/>
    </xf>
    <xf numFmtId="0" fontId="3" fillId="0" borderId="0" xfId="1" applyFont="1" applyBorder="1"/>
    <xf numFmtId="4" fontId="5" fillId="0" borderId="0" xfId="1" applyNumberFormat="1" applyFont="1" applyAlignment="1" applyProtection="1">
      <alignment vertical="center"/>
    </xf>
    <xf numFmtId="4" fontId="6" fillId="2" borderId="0" xfId="1" applyNumberFormat="1" applyFont="1" applyFill="1" applyAlignment="1" applyProtection="1">
      <alignment vertical="center"/>
    </xf>
    <xf numFmtId="3" fontId="6" fillId="2" borderId="0" xfId="1" applyNumberFormat="1" applyFont="1" applyFill="1" applyAlignment="1" applyProtection="1">
      <alignment horizontal="center" vertical="center"/>
    </xf>
    <xf numFmtId="4" fontId="6" fillId="0" borderId="0" xfId="1" applyNumberFormat="1" applyFont="1" applyAlignment="1" applyProtection="1">
      <alignment vertical="center"/>
    </xf>
    <xf numFmtId="3" fontId="6" fillId="0" borderId="1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Alignment="1" applyProtection="1">
      <alignment horizontal="center" vertical="center"/>
    </xf>
    <xf numFmtId="3" fontId="6" fillId="0" borderId="0" xfId="1" applyNumberFormat="1" applyFont="1" applyFill="1" applyAlignment="1" applyProtection="1">
      <alignment horizontal="center" vertical="center"/>
    </xf>
    <xf numFmtId="0" fontId="1" fillId="0" borderId="0" xfId="1" applyFont="1" applyAlignment="1" applyProtection="1">
      <alignment horizontal="right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3" xfId="1" applyNumberFormat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3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9" fillId="3" borderId="6" xfId="1" applyNumberFormat="1" applyFont="1" applyFill="1" applyBorder="1" applyAlignment="1" applyProtection="1">
      <alignment vertical="center" wrapText="1"/>
    </xf>
    <xf numFmtId="0" fontId="10" fillId="3" borderId="7" xfId="3" applyNumberFormat="1" applyFont="1" applyFill="1" applyBorder="1" applyAlignment="1" applyProtection="1">
      <alignment vertical="center" wrapText="1"/>
    </xf>
    <xf numFmtId="3" fontId="10" fillId="3" borderId="7" xfId="3" applyNumberFormat="1" applyFont="1" applyFill="1" applyBorder="1" applyAlignment="1" applyProtection="1">
      <alignment horizontal="right" vertical="center"/>
    </xf>
    <xf numFmtId="3" fontId="10" fillId="3" borderId="8" xfId="3" applyNumberFormat="1" applyFont="1" applyFill="1" applyBorder="1" applyAlignment="1" applyProtection="1">
      <alignment horizontal="right" vertical="center"/>
    </xf>
    <xf numFmtId="0" fontId="7" fillId="3" borderId="6" xfId="1" applyNumberFormat="1" applyFont="1" applyFill="1" applyBorder="1" applyAlignment="1" applyProtection="1">
      <alignment horizontal="left" vertical="center" wrapText="1"/>
    </xf>
    <xf numFmtId="0" fontId="7" fillId="3" borderId="7" xfId="3" applyNumberFormat="1" applyFont="1" applyFill="1" applyBorder="1" applyAlignment="1" applyProtection="1">
      <alignment vertical="center" wrapText="1"/>
    </xf>
    <xf numFmtId="3" fontId="7" fillId="3" borderId="7" xfId="3" applyNumberFormat="1" applyFont="1" applyFill="1" applyBorder="1" applyAlignment="1" applyProtection="1">
      <alignment horizontal="right" vertical="center"/>
    </xf>
    <xf numFmtId="3" fontId="7" fillId="3" borderId="8" xfId="3" applyNumberFormat="1" applyFont="1" applyFill="1" applyBorder="1" applyAlignment="1" applyProtection="1">
      <alignment horizontal="right" vertical="center"/>
    </xf>
    <xf numFmtId="0" fontId="1" fillId="0" borderId="6" xfId="1" applyNumberFormat="1" applyFont="1" applyBorder="1" applyAlignment="1" applyProtection="1">
      <alignment horizontal="left" vertical="center" wrapText="1"/>
    </xf>
    <xf numFmtId="0" fontId="6" fillId="0" borderId="7" xfId="3" applyNumberFormat="1" applyFont="1" applyBorder="1" applyAlignment="1" applyProtection="1">
      <alignment vertical="center" wrapText="1"/>
    </xf>
    <xf numFmtId="3" fontId="6" fillId="0" borderId="7" xfId="3" applyNumberFormat="1" applyFont="1" applyBorder="1" applyAlignment="1" applyProtection="1">
      <alignment horizontal="right" vertical="center"/>
    </xf>
    <xf numFmtId="3" fontId="6" fillId="0" borderId="8" xfId="3" applyNumberFormat="1" applyFont="1" applyBorder="1" applyAlignment="1" applyProtection="1">
      <alignment horizontal="right" vertical="center"/>
    </xf>
    <xf numFmtId="0" fontId="6" fillId="0" borderId="6" xfId="1" applyNumberFormat="1" applyFont="1" applyBorder="1" applyAlignment="1" applyProtection="1">
      <alignment horizontal="left" vertical="center" wrapText="1"/>
    </xf>
    <xf numFmtId="0" fontId="6" fillId="0" borderId="7" xfId="3" applyNumberFormat="1" applyFont="1" applyBorder="1" applyAlignment="1" applyProtection="1">
      <alignment horizontal="left" vertical="center" wrapText="1"/>
    </xf>
    <xf numFmtId="0" fontId="7" fillId="3" borderId="7" xfId="3" applyNumberFormat="1" applyFont="1" applyFill="1" applyBorder="1" applyAlignment="1" applyProtection="1">
      <alignment horizontal="left" vertical="center" wrapText="1"/>
    </xf>
    <xf numFmtId="0" fontId="6" fillId="0" borderId="6" xfId="1" applyNumberFormat="1" applyFont="1" applyFill="1" applyBorder="1" applyAlignment="1" applyProtection="1">
      <alignment horizontal="left" vertical="center" wrapText="1"/>
    </xf>
    <xf numFmtId="0" fontId="6" fillId="0" borderId="7" xfId="3" applyNumberFormat="1" applyFont="1" applyFill="1" applyBorder="1" applyAlignment="1" applyProtection="1">
      <alignment vertical="center" wrapText="1"/>
    </xf>
    <xf numFmtId="3" fontId="6" fillId="0" borderId="7" xfId="3" applyNumberFormat="1" applyFont="1" applyFill="1" applyBorder="1" applyAlignment="1" applyProtection="1">
      <alignment horizontal="right" vertical="center"/>
    </xf>
    <xf numFmtId="3" fontId="6" fillId="0" borderId="8" xfId="3" applyNumberFormat="1" applyFont="1" applyFill="1" applyBorder="1" applyAlignment="1" applyProtection="1">
      <alignment horizontal="right" vertical="center"/>
    </xf>
    <xf numFmtId="0" fontId="6" fillId="3" borderId="7" xfId="3" applyNumberFormat="1" applyFont="1" applyFill="1" applyBorder="1" applyAlignment="1" applyProtection="1">
      <alignment vertical="center" wrapText="1"/>
    </xf>
    <xf numFmtId="0" fontId="6" fillId="3" borderId="7" xfId="3" applyNumberFormat="1" applyFont="1" applyFill="1" applyBorder="1" applyAlignment="1" applyProtection="1">
      <alignment horizontal="left" vertical="center" wrapText="1"/>
    </xf>
    <xf numFmtId="0" fontId="1" fillId="0" borderId="6" xfId="1" applyNumberFormat="1" applyFont="1" applyFill="1" applyBorder="1" applyAlignment="1" applyProtection="1">
      <alignment horizontal="left" vertical="center" wrapText="1"/>
    </xf>
    <xf numFmtId="0" fontId="13" fillId="0" borderId="7" xfId="3" applyNumberFormat="1" applyFont="1" applyFill="1" applyBorder="1" applyAlignment="1" applyProtection="1">
      <alignment vertical="center" wrapText="1"/>
    </xf>
    <xf numFmtId="3" fontId="13" fillId="0" borderId="7" xfId="3" applyNumberFormat="1" applyFont="1" applyFill="1" applyBorder="1" applyAlignment="1" applyProtection="1">
      <alignment horizontal="right" vertical="center"/>
    </xf>
    <xf numFmtId="3" fontId="13" fillId="0" borderId="8" xfId="3" applyNumberFormat="1" applyFont="1" applyFill="1" applyBorder="1" applyAlignment="1" applyProtection="1">
      <alignment horizontal="right" vertical="center"/>
    </xf>
    <xf numFmtId="0" fontId="9" fillId="3" borderId="9" xfId="1" applyNumberFormat="1" applyFont="1" applyFill="1" applyBorder="1" applyAlignment="1" applyProtection="1">
      <alignment vertical="center" wrapText="1"/>
    </xf>
    <xf numFmtId="0" fontId="8" fillId="3" borderId="10" xfId="3" applyNumberFormat="1" applyFont="1" applyFill="1" applyBorder="1" applyAlignment="1" applyProtection="1">
      <alignment vertical="center" wrapText="1"/>
    </xf>
    <xf numFmtId="3" fontId="8" fillId="3" borderId="10" xfId="3" applyNumberFormat="1" applyFont="1" applyFill="1" applyBorder="1" applyAlignment="1" applyProtection="1">
      <alignment horizontal="right" vertical="center"/>
    </xf>
    <xf numFmtId="3" fontId="8" fillId="3" borderId="11" xfId="3" applyNumberFormat="1" applyFont="1" applyFill="1" applyBorder="1" applyAlignment="1" applyProtection="1">
      <alignment horizontal="right" vertical="center"/>
    </xf>
    <xf numFmtId="164" fontId="14" fillId="0" borderId="0" xfId="2" applyNumberFormat="1" applyFont="1" applyBorder="1" applyAlignment="1">
      <alignment horizontal="left"/>
    </xf>
    <xf numFmtId="4" fontId="11" fillId="0" borderId="0" xfId="1" applyNumberFormat="1" applyFont="1" applyAlignment="1" applyProtection="1">
      <alignment vertical="top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3" fontId="9" fillId="0" borderId="6" xfId="1" applyNumberFormat="1" applyFont="1" applyFill="1" applyBorder="1" applyAlignment="1" applyProtection="1">
      <alignment vertical="center" wrapText="1"/>
    </xf>
    <xf numFmtId="3" fontId="17" fillId="0" borderId="7" xfId="1" applyNumberFormat="1" applyFont="1" applyFill="1" applyBorder="1" applyAlignment="1" applyProtection="1">
      <alignment vertical="center" wrapText="1"/>
    </xf>
    <xf numFmtId="3" fontId="17" fillId="0" borderId="7" xfId="1" applyNumberFormat="1" applyFont="1" applyFill="1" applyBorder="1" applyAlignment="1" applyProtection="1">
      <alignment horizontal="right" vertical="center" wrapText="1"/>
    </xf>
    <xf numFmtId="3" fontId="17" fillId="0" borderId="8" xfId="1" applyNumberFormat="1" applyFont="1" applyFill="1" applyBorder="1" applyAlignment="1" applyProtection="1">
      <alignment horizontal="right" vertical="center" wrapText="1"/>
    </xf>
    <xf numFmtId="3" fontId="8" fillId="0" borderId="6" xfId="1" applyNumberFormat="1" applyFont="1" applyFill="1" applyBorder="1" applyAlignment="1" applyProtection="1">
      <alignment horizontal="left" vertical="center" wrapText="1"/>
    </xf>
    <xf numFmtId="3" fontId="8" fillId="0" borderId="7" xfId="1" applyNumberFormat="1" applyFont="1" applyFill="1" applyBorder="1" applyAlignment="1" applyProtection="1">
      <alignment horizontal="left" vertical="center" wrapText="1"/>
    </xf>
    <xf numFmtId="3" fontId="8" fillId="0" borderId="7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Fill="1" applyBorder="1" applyAlignment="1" applyProtection="1">
      <alignment horizontal="right" vertical="center" wrapText="1"/>
    </xf>
    <xf numFmtId="3" fontId="8" fillId="0" borderId="7" xfId="1" applyNumberFormat="1" applyFont="1" applyFill="1" applyBorder="1" applyAlignment="1" applyProtection="1">
      <alignment vertical="center" wrapText="1"/>
    </xf>
    <xf numFmtId="3" fontId="6" fillId="0" borderId="6" xfId="1" applyNumberFormat="1" applyFont="1" applyBorder="1" applyAlignment="1" applyProtection="1">
      <alignment horizontal="left" vertical="center" wrapText="1"/>
    </xf>
    <xf numFmtId="3" fontId="6" fillId="0" borderId="7" xfId="1" applyNumberFormat="1" applyFont="1" applyBorder="1" applyAlignment="1" applyProtection="1">
      <alignment horizontal="left" vertical="center" wrapText="1"/>
    </xf>
    <xf numFmtId="3" fontId="6" fillId="0" borderId="7" xfId="1" applyNumberFormat="1" applyFont="1" applyBorder="1" applyAlignment="1" applyProtection="1">
      <alignment horizontal="right" vertical="center" wrapText="1"/>
    </xf>
    <xf numFmtId="3" fontId="6" fillId="0" borderId="8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Fill="1" applyBorder="1" applyAlignment="1" applyProtection="1">
      <alignment horizontal="left" vertical="center" wrapText="1"/>
    </xf>
    <xf numFmtId="3" fontId="8" fillId="0" borderId="10" xfId="1" applyNumberFormat="1" applyFont="1" applyFill="1" applyBorder="1" applyAlignment="1" applyProtection="1">
      <alignment horizontal="left" vertical="center" wrapText="1"/>
    </xf>
    <xf numFmtId="3" fontId="8" fillId="0" borderId="10" xfId="1" applyNumberFormat="1" applyFont="1" applyFill="1" applyBorder="1" applyAlignment="1" applyProtection="1">
      <alignment horizontal="right" vertical="center" wrapText="1"/>
    </xf>
    <xf numFmtId="3" fontId="8" fillId="0" borderId="11" xfId="1" applyNumberFormat="1" applyFont="1" applyFill="1" applyBorder="1" applyAlignment="1" applyProtection="1">
      <alignment horizontal="right" vertical="center" wrapText="1"/>
    </xf>
    <xf numFmtId="3" fontId="8" fillId="0" borderId="0" xfId="1" applyNumberFormat="1" applyFont="1" applyFill="1" applyBorder="1" applyAlignment="1" applyProtection="1">
      <alignment horizontal="left" vertical="center" wrapText="1"/>
    </xf>
    <xf numFmtId="3" fontId="8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Font="1" applyBorder="1" applyAlignment="1" applyProtection="1">
      <alignment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8" fillId="0" borderId="0" xfId="1" applyFont="1" applyFill="1" applyBorder="1"/>
    <xf numFmtId="0" fontId="1" fillId="0" borderId="0" xfId="1" applyFont="1"/>
    <xf numFmtId="0" fontId="1" fillId="2" borderId="2" xfId="1" applyFont="1" applyFill="1" applyBorder="1" applyAlignment="1">
      <alignment wrapText="1"/>
    </xf>
    <xf numFmtId="0" fontId="1" fillId="2" borderId="3" xfId="1" applyFont="1" applyFill="1" applyBorder="1" applyAlignment="1">
      <alignment wrapText="1"/>
    </xf>
    <xf numFmtId="14" fontId="8" fillId="2" borderId="3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 applyProtection="1">
      <alignment vertical="center"/>
    </xf>
    <xf numFmtId="3" fontId="19" fillId="0" borderId="7" xfId="1" applyNumberFormat="1" applyFont="1" applyBorder="1" applyAlignment="1" applyProtection="1">
      <alignment horizontal="right" vertical="top" indent="1"/>
      <protection locked="0"/>
    </xf>
    <xf numFmtId="3" fontId="6" fillId="4" borderId="7" xfId="1" applyNumberFormat="1" applyFont="1" applyFill="1" applyBorder="1" applyAlignment="1">
      <alignment horizontal="right" vertical="center" wrapText="1" indent="1"/>
    </xf>
    <xf numFmtId="3" fontId="6" fillId="4" borderId="6" xfId="1" applyNumberFormat="1" applyFont="1" applyFill="1" applyBorder="1" applyAlignment="1">
      <alignment horizontal="right" vertical="center" wrapText="1" indent="1"/>
    </xf>
    <xf numFmtId="0" fontId="1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 wrapText="1" indent="1"/>
    </xf>
    <xf numFmtId="3" fontId="6" fillId="3" borderId="7" xfId="1" applyNumberFormat="1" applyFont="1" applyFill="1" applyBorder="1" applyAlignment="1">
      <alignment horizontal="right" vertical="center" wrapText="1" indent="1"/>
    </xf>
    <xf numFmtId="3" fontId="19" fillId="4" borderId="7" xfId="1" applyNumberFormat="1" applyFont="1" applyFill="1" applyBorder="1" applyAlignment="1" applyProtection="1">
      <alignment horizontal="right" vertical="top" indent="1"/>
      <protection locked="0"/>
    </xf>
    <xf numFmtId="3" fontId="19" fillId="4" borderId="6" xfId="1" applyNumberFormat="1" applyFont="1" applyFill="1" applyBorder="1" applyAlignment="1" applyProtection="1">
      <alignment horizontal="right" vertical="top" indent="1"/>
      <protection locked="0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left" vertical="center" wrapText="1" indent="1"/>
    </xf>
    <xf numFmtId="3" fontId="1" fillId="4" borderId="7" xfId="1" applyNumberFormat="1" applyFont="1" applyFill="1" applyBorder="1" applyAlignment="1" applyProtection="1">
      <alignment horizontal="right" vertical="top" indent="1"/>
      <protection locked="0"/>
    </xf>
    <xf numFmtId="3" fontId="1" fillId="4" borderId="6" xfId="1" applyNumberFormat="1" applyFont="1" applyFill="1" applyBorder="1" applyAlignment="1" applyProtection="1">
      <alignment horizontal="right" vertical="top" indent="1"/>
      <protection locked="0"/>
    </xf>
    <xf numFmtId="0" fontId="1" fillId="3" borderId="7" xfId="1" applyFont="1" applyFill="1" applyBorder="1" applyAlignment="1">
      <alignment horizontal="left" vertical="center" wrapText="1" indent="1"/>
    </xf>
    <xf numFmtId="3" fontId="19" fillId="4" borderId="10" xfId="1" applyNumberFormat="1" applyFont="1" applyFill="1" applyBorder="1" applyAlignment="1" applyProtection="1">
      <alignment horizontal="right" vertical="top" indent="1"/>
      <protection locked="0"/>
    </xf>
    <xf numFmtId="3" fontId="19" fillId="4" borderId="9" xfId="1" applyNumberFormat="1" applyFont="1" applyFill="1" applyBorder="1" applyAlignment="1" applyProtection="1">
      <alignment horizontal="right" vertical="top" indent="1"/>
      <protection locked="0"/>
    </xf>
    <xf numFmtId="3" fontId="1" fillId="3" borderId="7" xfId="1" applyNumberFormat="1" applyFont="1" applyFill="1" applyBorder="1" applyAlignment="1" applyProtection="1">
      <alignment horizontal="right" vertical="top" indent="1"/>
      <protection locked="0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left" vertical="center" wrapText="1" indent="1"/>
    </xf>
    <xf numFmtId="3" fontId="19" fillId="0" borderId="10" xfId="1" applyNumberFormat="1" applyFont="1" applyBorder="1" applyAlignment="1" applyProtection="1">
      <alignment horizontal="right" vertical="top" indent="1"/>
      <protection locked="0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 wrapText="1" indent="1"/>
    </xf>
    <xf numFmtId="3" fontId="19" fillId="0" borderId="0" xfId="1" applyNumberFormat="1" applyFont="1" applyBorder="1" applyAlignment="1" applyProtection="1">
      <alignment horizontal="right" vertical="top" indent="1"/>
      <protection locked="0"/>
    </xf>
    <xf numFmtId="0" fontId="8" fillId="5" borderId="12" xfId="1" applyFont="1" applyFill="1" applyBorder="1" applyAlignment="1">
      <alignment horizontal="left" vertical="center"/>
    </xf>
    <xf numFmtId="3" fontId="8" fillId="5" borderId="12" xfId="1" applyNumberFormat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horizontal="left" vertical="center"/>
    </xf>
    <xf numFmtId="3" fontId="1" fillId="0" borderId="14" xfId="1" applyNumberFormat="1" applyFont="1" applyBorder="1" applyAlignment="1" applyProtection="1">
      <alignment horizontal="right" vertical="top" indent="1"/>
      <protection locked="0"/>
    </xf>
    <xf numFmtId="0" fontId="1" fillId="0" borderId="15" xfId="1" applyFont="1" applyFill="1" applyBorder="1" applyAlignment="1">
      <alignment horizontal="left" vertical="center"/>
    </xf>
    <xf numFmtId="3" fontId="1" fillId="0" borderId="16" xfId="1" applyNumberFormat="1" applyFont="1" applyBorder="1" applyAlignment="1" applyProtection="1">
      <alignment horizontal="right" vertical="top" indent="1"/>
      <protection locked="0"/>
    </xf>
    <xf numFmtId="3" fontId="19" fillId="4" borderId="17" xfId="1" applyNumberFormat="1" applyFont="1" applyFill="1" applyBorder="1" applyAlignment="1" applyProtection="1">
      <alignment horizontal="right" vertical="top" indent="1"/>
      <protection locked="0"/>
    </xf>
    <xf numFmtId="3" fontId="19" fillId="4" borderId="18" xfId="1" applyNumberFormat="1" applyFont="1" applyFill="1" applyBorder="1" applyAlignment="1" applyProtection="1">
      <alignment horizontal="right" vertical="top" indent="1"/>
      <protection locked="0"/>
    </xf>
    <xf numFmtId="0" fontId="1" fillId="0" borderId="19" xfId="1" applyFont="1" applyFill="1" applyBorder="1" applyAlignment="1">
      <alignment horizontal="left" vertical="center"/>
    </xf>
    <xf numFmtId="3" fontId="1" fillId="0" borderId="20" xfId="1" applyNumberFormat="1" applyFont="1" applyBorder="1" applyAlignment="1" applyProtection="1">
      <alignment horizontal="right" vertical="top" indent="1"/>
      <protection locked="0"/>
    </xf>
    <xf numFmtId="0" fontId="1" fillId="2" borderId="0" xfId="1" applyFont="1" applyFill="1"/>
    <xf numFmtId="0" fontId="20" fillId="2" borderId="0" xfId="1" applyFont="1" applyFill="1" applyBorder="1" applyAlignment="1">
      <alignment horizontal="left" vertical="center" indent="2"/>
    </xf>
    <xf numFmtId="0" fontId="20" fillId="2" borderId="0" xfId="1" applyFont="1" applyFill="1" applyBorder="1" applyAlignment="1">
      <alignment horizontal="left" vertical="center" wrapText="1" indent="2"/>
    </xf>
    <xf numFmtId="0" fontId="20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wrapText="1"/>
    </xf>
    <xf numFmtId="0" fontId="1" fillId="0" borderId="0" xfId="1" applyFont="1" applyFill="1"/>
    <xf numFmtId="14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vertical="top"/>
    </xf>
    <xf numFmtId="0" fontId="21" fillId="0" borderId="0" xfId="1" applyFont="1" applyFill="1" applyBorder="1" applyAlignment="1">
      <alignment horizontal="left" vertical="center" wrapText="1" indent="1"/>
    </xf>
    <xf numFmtId="0" fontId="8" fillId="0" borderId="0" xfId="1" applyFont="1" applyAlignment="1">
      <alignment horizontal="left"/>
    </xf>
    <xf numFmtId="0" fontId="22" fillId="0" borderId="0" xfId="1" applyFont="1"/>
    <xf numFmtId="0" fontId="23" fillId="0" borderId="0" xfId="1" applyFont="1"/>
    <xf numFmtId="0" fontId="8" fillId="2" borderId="2" xfId="1" applyFont="1" applyFill="1" applyBorder="1" applyAlignment="1" applyProtection="1">
      <alignment horizontal="center" vertical="center" wrapText="1"/>
    </xf>
    <xf numFmtId="0" fontId="19" fillId="0" borderId="21" xfId="1" applyFont="1" applyFill="1" applyBorder="1" applyAlignment="1">
      <alignment horizontal="center" vertical="center"/>
    </xf>
    <xf numFmtId="0" fontId="24" fillId="0" borderId="22" xfId="1" applyFont="1" applyFill="1" applyBorder="1" applyAlignment="1" applyProtection="1">
      <alignment horizontal="left" vertical="center" wrapText="1"/>
      <protection locked="0"/>
    </xf>
    <xf numFmtId="3" fontId="25" fillId="0" borderId="22" xfId="1" applyNumberFormat="1" applyFont="1" applyBorder="1" applyAlignment="1" applyProtection="1">
      <alignment horizontal="right" vertical="top" indent="1"/>
      <protection locked="0"/>
    </xf>
    <xf numFmtId="3" fontId="25" fillId="0" borderId="23" xfId="1" applyNumberFormat="1" applyFont="1" applyBorder="1" applyAlignment="1" applyProtection="1">
      <alignment horizontal="right" vertical="top" indent="1"/>
      <protection locked="0"/>
    </xf>
    <xf numFmtId="0" fontId="19" fillId="0" borderId="24" xfId="1" applyFont="1" applyFill="1" applyBorder="1" applyAlignment="1">
      <alignment horizontal="center" vertical="center"/>
    </xf>
    <xf numFmtId="0" fontId="21" fillId="0" borderId="25" xfId="1" applyFont="1" applyFill="1" applyBorder="1" applyAlignment="1" applyProtection="1">
      <alignment horizontal="left" vertical="center" wrapText="1"/>
      <protection locked="0"/>
    </xf>
    <xf numFmtId="3" fontId="22" fillId="0" borderId="25" xfId="1" applyNumberFormat="1" applyFont="1" applyBorder="1" applyAlignment="1" applyProtection="1">
      <alignment horizontal="right" vertical="top" indent="1"/>
      <protection locked="0"/>
    </xf>
    <xf numFmtId="3" fontId="19" fillId="0" borderId="25" xfId="1" applyNumberFormat="1" applyFont="1" applyBorder="1" applyAlignment="1" applyProtection="1">
      <alignment horizontal="right" vertical="top" indent="1"/>
      <protection locked="0"/>
    </xf>
    <xf numFmtId="3" fontId="19" fillId="0" borderId="26" xfId="1" applyNumberFormat="1" applyFont="1" applyBorder="1" applyAlignment="1" applyProtection="1">
      <alignment horizontal="right" vertical="top" indent="1"/>
      <protection locked="0"/>
    </xf>
    <xf numFmtId="0" fontId="24" fillId="0" borderId="25" xfId="1" applyFont="1" applyFill="1" applyBorder="1" applyAlignment="1" applyProtection="1">
      <alignment horizontal="left" vertical="center" wrapText="1"/>
      <protection locked="0"/>
    </xf>
    <xf numFmtId="3" fontId="25" fillId="0" borderId="25" xfId="1" applyNumberFormat="1" applyFont="1" applyBorder="1" applyAlignment="1" applyProtection="1">
      <alignment horizontal="right" vertical="top" indent="1"/>
      <protection locked="0"/>
    </xf>
    <xf numFmtId="3" fontId="25" fillId="0" borderId="26" xfId="1" applyNumberFormat="1" applyFont="1" applyBorder="1" applyAlignment="1" applyProtection="1">
      <alignment horizontal="right" vertical="top" indent="1"/>
      <protection locked="0"/>
    </xf>
    <xf numFmtId="0" fontId="19" fillId="0" borderId="27" xfId="1" applyFont="1" applyFill="1" applyBorder="1" applyAlignment="1">
      <alignment horizontal="center" vertical="center"/>
    </xf>
    <xf numFmtId="0" fontId="21" fillId="0" borderId="28" xfId="1" applyFont="1" applyFill="1" applyBorder="1" applyAlignment="1" applyProtection="1">
      <alignment horizontal="left" vertical="center" wrapText="1"/>
      <protection locked="0"/>
    </xf>
    <xf numFmtId="3" fontId="22" fillId="0" borderId="28" xfId="1" applyNumberFormat="1" applyFont="1" applyBorder="1" applyAlignment="1" applyProtection="1">
      <alignment horizontal="right" vertical="top" indent="1"/>
      <protection locked="0"/>
    </xf>
    <xf numFmtId="0" fontId="19" fillId="0" borderId="29" xfId="1" applyFont="1" applyFill="1" applyBorder="1" applyAlignment="1">
      <alignment horizontal="center" vertical="center"/>
    </xf>
    <xf numFmtId="0" fontId="24" fillId="0" borderId="30" xfId="1" applyFont="1" applyFill="1" applyBorder="1" applyAlignment="1" applyProtection="1">
      <alignment horizontal="left" vertical="center" wrapText="1"/>
      <protection locked="0"/>
    </xf>
    <xf numFmtId="3" fontId="25" fillId="0" borderId="30" xfId="1" applyNumberFormat="1" applyFont="1" applyBorder="1" applyAlignment="1" applyProtection="1">
      <alignment horizontal="right" vertical="top" indent="1"/>
      <protection locked="0"/>
    </xf>
    <xf numFmtId="3" fontId="25" fillId="0" borderId="31" xfId="1" applyNumberFormat="1" applyFont="1" applyBorder="1" applyAlignment="1" applyProtection="1">
      <alignment horizontal="right" vertical="top" indent="1"/>
      <protection locked="0"/>
    </xf>
    <xf numFmtId="0" fontId="26" fillId="0" borderId="22" xfId="1" applyFont="1" applyFill="1" applyBorder="1"/>
    <xf numFmtId="0" fontId="6" fillId="0" borderId="24" xfId="1" applyFont="1" applyFill="1" applyBorder="1"/>
    <xf numFmtId="0" fontId="27" fillId="0" borderId="25" xfId="1" applyFont="1" applyFill="1" applyBorder="1"/>
    <xf numFmtId="3" fontId="6" fillId="0" borderId="25" xfId="1" applyNumberFormat="1" applyFont="1" applyFill="1" applyBorder="1" applyAlignment="1">
      <alignment horizontal="right"/>
    </xf>
    <xf numFmtId="3" fontId="6" fillId="0" borderId="26" xfId="1" applyNumberFormat="1" applyFont="1" applyFill="1" applyBorder="1" applyAlignment="1">
      <alignment horizontal="right"/>
    </xf>
    <xf numFmtId="0" fontId="18" fillId="0" borderId="32" xfId="1" applyFont="1" applyFill="1" applyBorder="1"/>
    <xf numFmtId="0" fontId="27" fillId="0" borderId="33" xfId="1" applyFont="1" applyFill="1" applyBorder="1" applyAlignment="1">
      <alignment wrapText="1"/>
    </xf>
    <xf numFmtId="3" fontId="1" fillId="0" borderId="33" xfId="1" applyNumberFormat="1" applyFont="1" applyBorder="1" applyAlignment="1">
      <alignment horizontal="right"/>
    </xf>
    <xf numFmtId="3" fontId="1" fillId="0" borderId="34" xfId="1" applyNumberFormat="1" applyFont="1" applyBorder="1" applyAlignment="1">
      <alignment horizontal="right"/>
    </xf>
    <xf numFmtId="0" fontId="18" fillId="3" borderId="35" xfId="1" applyFont="1" applyFill="1" applyBorder="1"/>
    <xf numFmtId="0" fontId="26" fillId="3" borderId="35" xfId="1" applyFont="1" applyFill="1" applyBorder="1" applyAlignment="1">
      <alignment vertical="top" wrapText="1"/>
    </xf>
    <xf numFmtId="3" fontId="18" fillId="3" borderId="36" xfId="1" applyNumberFormat="1" applyFont="1" applyFill="1" applyBorder="1" applyAlignment="1">
      <alignment horizontal="right"/>
    </xf>
    <xf numFmtId="0" fontId="21" fillId="6" borderId="0" xfId="1" applyFont="1" applyFill="1" applyBorder="1" applyAlignment="1">
      <alignment horizontal="left" vertical="center" indent="2"/>
    </xf>
    <xf numFmtId="0" fontId="21" fillId="6" borderId="0" xfId="1" applyFont="1" applyFill="1" applyBorder="1" applyAlignment="1">
      <alignment horizontal="left" vertical="center" wrapText="1" indent="2"/>
    </xf>
    <xf numFmtId="0" fontId="21" fillId="6" borderId="0" xfId="1" applyFont="1" applyFill="1" applyBorder="1" applyAlignment="1">
      <alignment horizontal="left" vertical="center" wrapText="1" indent="1"/>
    </xf>
    <xf numFmtId="3" fontId="1" fillId="6" borderId="0" xfId="1" applyNumberFormat="1" applyFont="1" applyFill="1" applyBorder="1" applyAlignment="1">
      <alignment horizontal="center" vertical="top"/>
    </xf>
    <xf numFmtId="3" fontId="22" fillId="0" borderId="26" xfId="1" applyNumberFormat="1" applyFont="1" applyBorder="1" applyAlignment="1" applyProtection="1">
      <alignment horizontal="right" vertical="top" indent="1"/>
      <protection locked="0"/>
    </xf>
    <xf numFmtId="3" fontId="22" fillId="0" borderId="37" xfId="1" applyNumberFormat="1" applyFont="1" applyBorder="1" applyAlignment="1" applyProtection="1">
      <alignment horizontal="right" vertical="top" indent="1"/>
      <protection locked="0"/>
    </xf>
    <xf numFmtId="0" fontId="24" fillId="0" borderId="38" xfId="1" applyFont="1" applyFill="1" applyBorder="1" applyAlignment="1" applyProtection="1">
      <alignment horizontal="left" vertical="center" wrapText="1"/>
      <protection locked="0"/>
    </xf>
    <xf numFmtId="3" fontId="19" fillId="0" borderId="38" xfId="1" applyNumberFormat="1" applyFont="1" applyBorder="1" applyAlignment="1" applyProtection="1">
      <alignment horizontal="right" vertical="top" indent="1"/>
      <protection locked="0"/>
    </xf>
    <xf numFmtId="3" fontId="19" fillId="0" borderId="39" xfId="1" applyNumberFormat="1" applyFont="1" applyBorder="1" applyAlignment="1" applyProtection="1">
      <alignment horizontal="right" vertical="top" indent="1"/>
      <protection locked="0"/>
    </xf>
    <xf numFmtId="3" fontId="21" fillId="6" borderId="0" xfId="1" applyNumberFormat="1" applyFont="1" applyFill="1" applyBorder="1" applyAlignment="1">
      <alignment horizontal="left" vertical="center" wrapText="1" indent="2"/>
    </xf>
    <xf numFmtId="0" fontId="29" fillId="0" borderId="0" xfId="1" applyFont="1" applyBorder="1"/>
    <xf numFmtId="3" fontId="30" fillId="3" borderId="7" xfId="3" applyNumberFormat="1" applyFont="1" applyFill="1" applyBorder="1" applyAlignment="1" applyProtection="1">
      <alignment horizontal="right" vertical="center"/>
    </xf>
    <xf numFmtId="3" fontId="31" fillId="3" borderId="7" xfId="3" applyNumberFormat="1" applyFont="1" applyFill="1" applyBorder="1" applyAlignment="1" applyProtection="1">
      <alignment horizontal="right" vertical="center"/>
    </xf>
    <xf numFmtId="3" fontId="2" fillId="0" borderId="7" xfId="3" applyNumberFormat="1" applyFont="1" applyBorder="1" applyAlignment="1" applyProtection="1">
      <alignment horizontal="right" vertical="center"/>
    </xf>
    <xf numFmtId="3" fontId="2" fillId="0" borderId="7" xfId="3" applyNumberFormat="1" applyFont="1" applyFill="1" applyBorder="1" applyAlignment="1" applyProtection="1">
      <alignment horizontal="right" vertical="center"/>
    </xf>
    <xf numFmtId="3" fontId="32" fillId="0" borderId="7" xfId="3" applyNumberFormat="1" applyFont="1" applyFill="1" applyBorder="1" applyAlignment="1" applyProtection="1">
      <alignment horizontal="right" vertical="center"/>
    </xf>
    <xf numFmtId="3" fontId="37" fillId="0" borderId="7" xfId="1" applyNumberFormat="1" applyFont="1" applyFill="1" applyBorder="1" applyAlignment="1" applyProtection="1">
      <alignment horizontal="right" vertical="center" wrapText="1"/>
    </xf>
    <xf numFmtId="3" fontId="38" fillId="0" borderId="7" xfId="1" applyNumberFormat="1" applyFont="1" applyFill="1" applyBorder="1" applyAlignment="1" applyProtection="1">
      <alignment horizontal="right" vertical="center" wrapText="1"/>
    </xf>
    <xf numFmtId="3" fontId="6" fillId="0" borderId="0" xfId="1" applyNumberFormat="1" applyFont="1" applyBorder="1" applyAlignment="1" applyProtection="1">
      <alignment horizontal="center" vertical="center" wrapText="1"/>
    </xf>
    <xf numFmtId="3" fontId="1" fillId="0" borderId="0" xfId="1" applyNumberFormat="1" applyFont="1"/>
    <xf numFmtId="3" fontId="20" fillId="2" borderId="0" xfId="1" applyNumberFormat="1" applyFont="1" applyFill="1" applyBorder="1" applyAlignment="1">
      <alignment horizontal="left" vertical="center" wrapText="1" indent="2"/>
    </xf>
    <xf numFmtId="3" fontId="20" fillId="2" borderId="0" xfId="1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 applyProtection="1">
      <alignment horizontal="center" vertical="center"/>
      <protection locked="0"/>
    </xf>
    <xf numFmtId="3" fontId="21" fillId="2" borderId="0" xfId="1" applyNumberFormat="1" applyFont="1" applyFill="1" applyBorder="1" applyAlignment="1">
      <alignment horizontal="center" vertical="center"/>
    </xf>
    <xf numFmtId="3" fontId="21" fillId="0" borderId="0" xfId="1" applyNumberFormat="1" applyFont="1" applyFill="1" applyBorder="1" applyAlignment="1">
      <alignment horizontal="left" vertical="center" wrapText="1" indent="1"/>
    </xf>
    <xf numFmtId="3" fontId="22" fillId="0" borderId="0" xfId="1" applyNumberFormat="1" applyFont="1"/>
    <xf numFmtId="3" fontId="33" fillId="3" borderId="7" xfId="3" applyNumberFormat="1" applyFont="1" applyFill="1" applyBorder="1" applyAlignment="1" applyProtection="1">
      <alignment horizontal="right" vertical="center"/>
    </xf>
    <xf numFmtId="3" fontId="34" fillId="3" borderId="7" xfId="3" applyNumberFormat="1" applyFont="1" applyFill="1" applyBorder="1" applyAlignment="1" applyProtection="1">
      <alignment horizontal="right" vertical="center"/>
    </xf>
    <xf numFmtId="3" fontId="35" fillId="0" borderId="7" xfId="3" applyNumberFormat="1" applyFont="1" applyBorder="1" applyAlignment="1" applyProtection="1">
      <alignment horizontal="right" vertical="center"/>
    </xf>
    <xf numFmtId="3" fontId="35" fillId="0" borderId="7" xfId="3" applyNumberFormat="1" applyFont="1" applyFill="1" applyBorder="1" applyAlignment="1" applyProtection="1">
      <alignment horizontal="right" vertical="center"/>
    </xf>
    <xf numFmtId="3" fontId="36" fillId="0" borderId="7" xfId="3" applyNumberFormat="1" applyFont="1" applyFill="1" applyBorder="1" applyAlignment="1" applyProtection="1">
      <alignment horizontal="right" vertical="center"/>
    </xf>
    <xf numFmtId="3" fontId="8" fillId="4" borderId="3" xfId="1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20" fillId="2" borderId="0" xfId="1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wrapText="1"/>
    </xf>
    <xf numFmtId="4" fontId="40" fillId="6" borderId="43" xfId="0" applyNumberFormat="1" applyFont="1" applyFill="1" applyBorder="1" applyAlignment="1">
      <alignment horizontal="center" wrapText="1"/>
    </xf>
    <xf numFmtId="4" fontId="40" fillId="0" borderId="43" xfId="0" applyNumberFormat="1" applyFont="1" applyFill="1" applyBorder="1" applyAlignment="1">
      <alignment horizontal="center" wrapText="1"/>
    </xf>
    <xf numFmtId="4" fontId="40" fillId="8" borderId="43" xfId="0" applyNumberFormat="1" applyFont="1" applyFill="1" applyBorder="1" applyAlignment="1">
      <alignment horizontal="center" wrapText="1"/>
    </xf>
    <xf numFmtId="0" fontId="0" fillId="6" borderId="43" xfId="0" applyFont="1" applyFill="1" applyBorder="1" applyAlignment="1">
      <alignment horizontal="center" wrapText="1"/>
    </xf>
    <xf numFmtId="0" fontId="41" fillId="6" borderId="43" xfId="0" applyFont="1" applyFill="1" applyBorder="1" applyAlignment="1">
      <alignment wrapText="1"/>
    </xf>
    <xf numFmtId="4" fontId="41" fillId="6" borderId="43" xfId="0" applyNumberFormat="1" applyFont="1" applyFill="1" applyBorder="1"/>
    <xf numFmtId="4" fontId="41" fillId="0" borderId="43" xfId="0" applyNumberFormat="1" applyFont="1" applyFill="1" applyBorder="1"/>
    <xf numFmtId="4" fontId="41" fillId="8" borderId="43" xfId="0" applyNumberFormat="1" applyFont="1" applyFill="1" applyBorder="1"/>
    <xf numFmtId="4" fontId="0" fillId="6" borderId="43" xfId="0" applyNumberFormat="1" applyFill="1" applyBorder="1"/>
    <xf numFmtId="0" fontId="0" fillId="6" borderId="43" xfId="0" applyFill="1" applyBorder="1"/>
    <xf numFmtId="0" fontId="41" fillId="6" borderId="43" xfId="0" applyFont="1" applyFill="1" applyBorder="1" applyAlignment="1">
      <alignment horizontal="left" wrapText="1"/>
    </xf>
    <xf numFmtId="0" fontId="42" fillId="6" borderId="43" xfId="0" applyFont="1" applyFill="1" applyBorder="1"/>
    <xf numFmtId="4" fontId="42" fillId="6" borderId="43" xfId="0" applyNumberFormat="1" applyFont="1" applyFill="1" applyBorder="1"/>
    <xf numFmtId="4" fontId="42" fillId="0" borderId="43" xfId="0" applyNumberFormat="1" applyFont="1" applyFill="1" applyBorder="1"/>
    <xf numFmtId="4" fontId="42" fillId="8" borderId="43" xfId="0" applyNumberFormat="1" applyFont="1" applyFill="1" applyBorder="1"/>
    <xf numFmtId="4" fontId="42" fillId="9" borderId="43" xfId="0" applyNumberFormat="1" applyFont="1" applyFill="1" applyBorder="1"/>
    <xf numFmtId="0" fontId="39" fillId="6" borderId="43" xfId="0" applyFont="1" applyFill="1" applyBorder="1"/>
    <xf numFmtId="0" fontId="0" fillId="6" borderId="43" xfId="0" applyFont="1" applyFill="1" applyBorder="1"/>
    <xf numFmtId="4" fontId="0" fillId="6" borderId="43" xfId="0" applyNumberFormat="1" applyFont="1" applyFill="1" applyBorder="1"/>
    <xf numFmtId="4" fontId="0" fillId="0" borderId="43" xfId="0" applyNumberFormat="1" applyFont="1" applyFill="1" applyBorder="1"/>
    <xf numFmtId="4" fontId="0" fillId="8" borderId="43" xfId="0" applyNumberFormat="1" applyFont="1" applyFill="1" applyBorder="1"/>
    <xf numFmtId="0" fontId="43" fillId="6" borderId="43" xfId="0" applyFont="1" applyFill="1" applyBorder="1" applyAlignment="1"/>
    <xf numFmtId="4" fontId="0" fillId="0" borderId="43" xfId="0" applyNumberFormat="1" applyFill="1" applyBorder="1"/>
    <xf numFmtId="4" fontId="0" fillId="8" borderId="43" xfId="0" applyNumberFormat="1" applyFill="1" applyBorder="1"/>
    <xf numFmtId="0" fontId="0" fillId="0" borderId="43" xfId="0" applyFill="1" applyBorder="1"/>
    <xf numFmtId="0" fontId="0" fillId="8" borderId="43" xfId="0" applyFill="1" applyBorder="1"/>
    <xf numFmtId="0" fontId="39" fillId="0" borderId="43" xfId="0" applyFont="1" applyBorder="1" applyAlignment="1">
      <alignment wrapText="1"/>
    </xf>
    <xf numFmtId="0" fontId="0" fillId="0" borderId="43" xfId="0" applyBorder="1" applyAlignment="1">
      <alignment wrapText="1"/>
    </xf>
    <xf numFmtId="0" fontId="41" fillId="0" borderId="43" xfId="0" applyFont="1" applyBorder="1" applyAlignment="1">
      <alignment wrapText="1"/>
    </xf>
    <xf numFmtId="0" fontId="0" fillId="10" borderId="43" xfId="0" applyFill="1" applyBorder="1"/>
    <xf numFmtId="0" fontId="0" fillId="10" borderId="43" xfId="0" applyFill="1" applyBorder="1" applyAlignment="1">
      <alignment wrapText="1"/>
    </xf>
    <xf numFmtId="0" fontId="0" fillId="6" borderId="43" xfId="0" applyFill="1" applyBorder="1" applyAlignment="1">
      <alignment wrapText="1"/>
    </xf>
    <xf numFmtId="0" fontId="0" fillId="0" borderId="43" xfId="0" applyBorder="1"/>
    <xf numFmtId="0" fontId="39" fillId="6" borderId="43" xfId="0" applyFont="1" applyFill="1" applyBorder="1" applyAlignment="1">
      <alignment wrapText="1"/>
    </xf>
    <xf numFmtId="0" fontId="42" fillId="6" borderId="43" xfId="0" applyFont="1" applyFill="1" applyBorder="1" applyAlignment="1">
      <alignment wrapText="1"/>
    </xf>
    <xf numFmtId="164" fontId="3" fillId="0" borderId="0" xfId="1" applyNumberFormat="1" applyFont="1" applyAlignment="1" applyProtection="1">
      <alignment horizontal="center" vertical="top" wrapText="1"/>
    </xf>
    <xf numFmtId="0" fontId="28" fillId="7" borderId="40" xfId="1" applyFont="1" applyFill="1" applyBorder="1" applyAlignment="1">
      <alignment horizontal="center" vertical="center"/>
    </xf>
    <xf numFmtId="0" fontId="28" fillId="7" borderId="41" xfId="1" applyFont="1" applyFill="1" applyBorder="1" applyAlignment="1">
      <alignment horizontal="center" vertical="center"/>
    </xf>
    <xf numFmtId="0" fontId="28" fillId="7" borderId="42" xfId="1" applyFont="1" applyFill="1" applyBorder="1" applyAlignment="1">
      <alignment horizontal="center" vertical="center"/>
    </xf>
    <xf numFmtId="0" fontId="43" fillId="6" borderId="43" xfId="0" applyFont="1" applyFill="1" applyBorder="1" applyAlignment="1">
      <alignment horizontal="center"/>
    </xf>
    <xf numFmtId="4" fontId="44" fillId="6" borderId="43" xfId="0" applyNumberFormat="1" applyFont="1" applyFill="1" applyBorder="1"/>
    <xf numFmtId="4" fontId="0" fillId="9" borderId="43" xfId="0" applyNumberFormat="1" applyFill="1" applyBorder="1"/>
    <xf numFmtId="0" fontId="1" fillId="0" borderId="1" xfId="2" applyFont="1" applyFill="1" applyBorder="1"/>
    <xf numFmtId="0" fontId="45" fillId="0" borderId="1" xfId="4" applyFill="1" applyBorder="1" applyAlignment="1" applyProtection="1"/>
    <xf numFmtId="3" fontId="19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3" fontId="19" fillId="0" borderId="45" xfId="0" applyNumberFormat="1" applyFont="1" applyFill="1" applyBorder="1" applyAlignment="1" applyProtection="1">
      <alignment horizontal="right" vertical="center" wrapText="1" indent="1"/>
      <protection locked="0"/>
    </xf>
  </cellXfs>
  <cellStyles count="5">
    <cellStyle name="Κανονικό" xfId="0" builtinId="0"/>
    <cellStyle name="Κανονικό 11 2" xfId="2"/>
    <cellStyle name="Κανονικό 2 14" xfId="1"/>
    <cellStyle name="Κόμμα 3" xfId="3"/>
    <cellStyle name="Υπερ-σύνδεση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oula/Documents/IKY/&#928;&#929;&#927;&#933;&#928;&#927;&#923;&#927;&#915;&#921;&#931;&#924;&#927;&#931;%202019/&#913;&#925;&#913;&#923;&#933;&#932;&#921;&#922;&#927;&#931;%20%20&#928;&#929;&#927;&#933;&#928;&#927;&#923;&#927;&#915;&#921;&#931;&#924;&#927;&#931;%20&#928;&#929;&#927;&#915;&#929;&#913;&#924;&#924;&#913;&#932;&#937;&#9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ΠΡΟΓΡΑΜΜΑΤΑ"/>
      <sheetName val="ΟΧΙ"/>
      <sheetName val="ΛΟΓΑΡΙΑΣΜΟΙ"/>
      <sheetName val="ΕΥΡΩΠΑΙΚΑ"/>
      <sheetName val="Φύλλο2"/>
    </sheetNames>
    <sheetDataSet>
      <sheetData sheetId="0"/>
      <sheetData sheetId="1"/>
      <sheetData sheetId="2">
        <row r="2">
          <cell r="B2">
            <v>6205172.4000000004</v>
          </cell>
        </row>
        <row r="3">
          <cell r="B3">
            <v>7635000</v>
          </cell>
        </row>
        <row r="4">
          <cell r="B4">
            <v>4136781.6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koula@iky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7"/>
  <sheetViews>
    <sheetView topLeftCell="A7" workbookViewId="0">
      <selection sqref="A1:XFD1048576"/>
    </sheetView>
  </sheetViews>
  <sheetFormatPr defaultColWidth="31.5703125" defaultRowHeight="12.75"/>
  <cols>
    <col min="1" max="1" width="52.7109375" style="1" customWidth="1"/>
    <col min="2" max="2" width="40.140625" style="1" customWidth="1"/>
    <col min="3" max="3" width="23" style="2" customWidth="1"/>
    <col min="4" max="7" width="23.42578125" style="2" customWidth="1"/>
    <col min="8" max="8" width="21.42578125" style="2" customWidth="1"/>
    <col min="9" max="9" width="21.28515625" style="2" customWidth="1"/>
    <col min="10" max="16384" width="31.5703125" style="1"/>
  </cols>
  <sheetData>
    <row r="1" spans="1:9" ht="18">
      <c r="E1" s="3"/>
    </row>
    <row r="2" spans="1:9" s="4" customFormat="1" ht="18.75">
      <c r="A2" s="228" t="s">
        <v>0</v>
      </c>
      <c r="B2" s="228"/>
      <c r="C2" s="228"/>
      <c r="D2" s="228"/>
      <c r="E2" s="228"/>
      <c r="F2" s="228"/>
      <c r="G2" s="228"/>
      <c r="H2" s="228"/>
      <c r="I2" s="228"/>
    </row>
    <row r="3" spans="1:9" s="7" customFormat="1">
      <c r="A3" s="5" t="s">
        <v>1</v>
      </c>
      <c r="B3" s="5"/>
      <c r="C3" s="6"/>
      <c r="D3" s="6"/>
      <c r="E3" s="6"/>
      <c r="F3" s="6"/>
      <c r="G3" s="6"/>
      <c r="H3" s="6"/>
      <c r="I3" s="6"/>
    </row>
    <row r="4" spans="1:9" s="7" customFormat="1">
      <c r="A4" s="5" t="s">
        <v>2</v>
      </c>
      <c r="B4" s="235" t="s">
        <v>259</v>
      </c>
      <c r="C4" s="8"/>
      <c r="D4" s="8"/>
      <c r="E4" s="8"/>
      <c r="F4" s="8"/>
      <c r="G4" s="8"/>
      <c r="H4" s="8"/>
      <c r="I4" s="6"/>
    </row>
    <row r="5" spans="1:9" s="7" customFormat="1">
      <c r="A5" s="5" t="s">
        <v>3</v>
      </c>
      <c r="B5" s="235" t="s">
        <v>260</v>
      </c>
      <c r="C5" s="8"/>
      <c r="D5" s="8"/>
      <c r="E5" s="8"/>
      <c r="F5" s="8"/>
      <c r="G5" s="8"/>
      <c r="H5" s="8"/>
      <c r="I5" s="6"/>
    </row>
    <row r="6" spans="1:9" s="7" customFormat="1" ht="15">
      <c r="A6" s="5" t="s">
        <v>4</v>
      </c>
      <c r="B6" s="236" t="s">
        <v>261</v>
      </c>
      <c r="C6" s="8"/>
      <c r="D6" s="8"/>
      <c r="E6" s="8"/>
      <c r="F6" s="8"/>
      <c r="G6" s="8"/>
      <c r="H6" s="8"/>
      <c r="I6" s="6"/>
    </row>
    <row r="7" spans="1:9" s="7" customFormat="1">
      <c r="A7" s="5" t="s">
        <v>5</v>
      </c>
      <c r="B7" s="235" t="s">
        <v>262</v>
      </c>
      <c r="C7" s="8"/>
      <c r="D7" s="8"/>
      <c r="E7" s="8"/>
      <c r="F7" s="8"/>
      <c r="G7" s="8"/>
      <c r="H7" s="8"/>
      <c r="I7" s="6"/>
    </row>
    <row r="8" spans="1:9" s="7" customFormat="1">
      <c r="A8" s="5"/>
      <c r="B8" s="235" t="s">
        <v>263</v>
      </c>
      <c r="C8" s="8"/>
      <c r="D8" s="8"/>
      <c r="E8" s="8"/>
      <c r="F8" s="8"/>
      <c r="G8" s="8"/>
      <c r="H8" s="8"/>
      <c r="I8" s="6"/>
    </row>
    <row r="9" spans="1:9" s="7" customFormat="1" ht="13.5" thickBot="1">
      <c r="C9" s="9"/>
      <c r="D9" s="9"/>
      <c r="E9" s="9"/>
      <c r="F9" s="9"/>
      <c r="G9" s="9"/>
      <c r="H9" s="10"/>
      <c r="I9" s="11" t="s">
        <v>6</v>
      </c>
    </row>
    <row r="10" spans="1:9" s="7" customFormat="1" ht="85.5" customHeight="1" thickTop="1">
      <c r="A10" s="12" t="s">
        <v>7</v>
      </c>
      <c r="B10" s="13" t="s">
        <v>8</v>
      </c>
      <c r="C10" s="50" t="s">
        <v>9</v>
      </c>
      <c r="D10" s="50" t="s">
        <v>10</v>
      </c>
      <c r="E10" s="14" t="s">
        <v>11</v>
      </c>
      <c r="F10" s="14" t="s">
        <v>12</v>
      </c>
      <c r="G10" s="15" t="s">
        <v>13</v>
      </c>
      <c r="H10" s="16" t="s">
        <v>14</v>
      </c>
      <c r="I10" s="17" t="s">
        <v>15</v>
      </c>
    </row>
    <row r="11" spans="1:9" s="7" customFormat="1">
      <c r="A11" s="18" t="s">
        <v>16</v>
      </c>
      <c r="B11" s="19"/>
      <c r="C11" s="169">
        <v>74319457.640000001</v>
      </c>
      <c r="D11" s="184">
        <v>82469248.409999982</v>
      </c>
      <c r="E11" s="20">
        <v>82228826.729999989</v>
      </c>
      <c r="F11" s="20">
        <v>59072503.729999997</v>
      </c>
      <c r="G11" s="20">
        <v>70810520.519999996</v>
      </c>
      <c r="H11" s="20">
        <v>0</v>
      </c>
      <c r="I11" s="21">
        <v>78586739.260000005</v>
      </c>
    </row>
    <row r="12" spans="1:9" s="7" customFormat="1">
      <c r="A12" s="22" t="s">
        <v>17</v>
      </c>
      <c r="B12" s="23"/>
      <c r="C12" s="170">
        <v>0</v>
      </c>
      <c r="D12" s="185">
        <v>0</v>
      </c>
      <c r="E12" s="24"/>
      <c r="F12" s="24">
        <v>0</v>
      </c>
      <c r="G12" s="24">
        <v>0</v>
      </c>
      <c r="H12" s="24">
        <v>0</v>
      </c>
      <c r="I12" s="25">
        <v>0</v>
      </c>
    </row>
    <row r="13" spans="1:9" s="7" customFormat="1" ht="25.5">
      <c r="A13" s="26" t="s">
        <v>18</v>
      </c>
      <c r="B13" s="27" t="s">
        <v>19</v>
      </c>
      <c r="C13" s="171"/>
      <c r="D13" s="186"/>
      <c r="E13" s="28"/>
      <c r="F13" s="28"/>
      <c r="G13" s="28"/>
      <c r="H13" s="28"/>
      <c r="I13" s="29"/>
    </row>
    <row r="14" spans="1:9" s="7" customFormat="1">
      <c r="A14" s="30" t="s">
        <v>20</v>
      </c>
      <c r="B14" s="31">
        <v>73</v>
      </c>
      <c r="C14" s="171">
        <v>0</v>
      </c>
      <c r="D14" s="186"/>
      <c r="E14" s="28"/>
      <c r="F14" s="28"/>
      <c r="G14" s="28"/>
      <c r="H14" s="28"/>
      <c r="I14" s="29"/>
    </row>
    <row r="15" spans="1:9" s="7" customFormat="1">
      <c r="A15" s="22" t="s">
        <v>21</v>
      </c>
      <c r="B15" s="32">
        <v>74</v>
      </c>
      <c r="C15" s="170">
        <v>73552635.129999995</v>
      </c>
      <c r="D15" s="185">
        <v>80478708.639999986</v>
      </c>
      <c r="E15" s="24">
        <v>80223086.959999993</v>
      </c>
      <c r="F15" s="24">
        <v>58806578.799999997</v>
      </c>
      <c r="G15" s="24">
        <v>70190420.519999996</v>
      </c>
      <c r="H15" s="24">
        <v>0</v>
      </c>
      <c r="I15" s="25">
        <v>76512269.020000011</v>
      </c>
    </row>
    <row r="16" spans="1:9" s="7" customFormat="1">
      <c r="A16" s="30" t="s">
        <v>22</v>
      </c>
      <c r="B16" s="27" t="s">
        <v>23</v>
      </c>
      <c r="C16" s="171">
        <v>0</v>
      </c>
      <c r="D16" s="186"/>
      <c r="E16" s="28"/>
      <c r="F16" s="28"/>
      <c r="G16" s="28"/>
      <c r="H16" s="28"/>
      <c r="I16" s="29"/>
    </row>
    <row r="17" spans="1:9" s="7" customFormat="1" ht="25.5">
      <c r="A17" s="30" t="s">
        <v>24</v>
      </c>
      <c r="B17" s="27" t="s">
        <v>25</v>
      </c>
      <c r="C17" s="171">
        <v>11210248.43</v>
      </c>
      <c r="D17" s="186">
        <v>28308288.119999997</v>
      </c>
      <c r="E17" s="28">
        <v>28032666.439999998</v>
      </c>
      <c r="F17" s="28">
        <v>7403627.4400000004</v>
      </c>
      <c r="G17" s="28">
        <v>18000000</v>
      </c>
      <c r="H17" s="28"/>
      <c r="I17" s="29">
        <v>21617948.350000001</v>
      </c>
    </row>
    <row r="18" spans="1:9" s="7" customFormat="1">
      <c r="A18" s="30" t="s">
        <v>26</v>
      </c>
      <c r="B18" s="27" t="s">
        <v>27</v>
      </c>
      <c r="C18" s="171">
        <v>61023110.329999998</v>
      </c>
      <c r="D18" s="186">
        <v>52049920.519999996</v>
      </c>
      <c r="E18" s="28">
        <v>52049920.519999996</v>
      </c>
      <c r="F18" s="28">
        <v>51382283.600000001</v>
      </c>
      <c r="G18" s="28">
        <v>52049920.519999996</v>
      </c>
      <c r="H18" s="28"/>
      <c r="I18" s="29">
        <v>54744320.670000002</v>
      </c>
    </row>
    <row r="19" spans="1:9" s="7" customFormat="1" ht="96.75" customHeight="1">
      <c r="A19" s="33" t="s">
        <v>28</v>
      </c>
      <c r="B19" s="34" t="s">
        <v>29</v>
      </c>
      <c r="C19" s="171">
        <v>1319276.3700000001</v>
      </c>
      <c r="D19" s="187">
        <v>120500</v>
      </c>
      <c r="E19" s="35">
        <v>140500</v>
      </c>
      <c r="F19" s="35">
        <v>20667.759999999998</v>
      </c>
      <c r="G19" s="35">
        <v>140500</v>
      </c>
      <c r="H19" s="35"/>
      <c r="I19" s="36">
        <v>150000</v>
      </c>
    </row>
    <row r="20" spans="1:9" s="7" customFormat="1">
      <c r="A20" s="22" t="s">
        <v>30</v>
      </c>
      <c r="B20" s="32">
        <v>75</v>
      </c>
      <c r="C20" s="170">
        <v>112287.45</v>
      </c>
      <c r="D20" s="185">
        <v>128594.7</v>
      </c>
      <c r="E20" s="24">
        <v>128594.7</v>
      </c>
      <c r="F20" s="24">
        <v>43661.35</v>
      </c>
      <c r="G20" s="24">
        <v>120000</v>
      </c>
      <c r="H20" s="24"/>
      <c r="I20" s="25">
        <v>120270.24</v>
      </c>
    </row>
    <row r="21" spans="1:9" s="7" customFormat="1">
      <c r="A21" s="22" t="s">
        <v>31</v>
      </c>
      <c r="B21" s="23" t="s">
        <v>32</v>
      </c>
      <c r="C21" s="170">
        <v>599752.75</v>
      </c>
      <c r="D21" s="185">
        <v>483920</v>
      </c>
      <c r="E21" s="24">
        <v>499120</v>
      </c>
      <c r="F21" s="24">
        <v>222113.58</v>
      </c>
      <c r="G21" s="24">
        <v>499100</v>
      </c>
      <c r="H21" s="24"/>
      <c r="I21" s="25">
        <v>491300</v>
      </c>
    </row>
    <row r="22" spans="1:9" s="7" customFormat="1">
      <c r="A22" s="22" t="s">
        <v>33</v>
      </c>
      <c r="B22" s="23" t="s">
        <v>34</v>
      </c>
      <c r="C22" s="170">
        <v>0</v>
      </c>
      <c r="D22" s="185"/>
      <c r="E22" s="24">
        <v>0</v>
      </c>
      <c r="F22" s="24"/>
      <c r="G22" s="24"/>
      <c r="H22" s="24"/>
      <c r="I22" s="25"/>
    </row>
    <row r="23" spans="1:9" s="7" customFormat="1" ht="38.25">
      <c r="A23" s="22" t="s">
        <v>35</v>
      </c>
      <c r="B23" s="23" t="s">
        <v>36</v>
      </c>
      <c r="C23" s="170">
        <v>0</v>
      </c>
      <c r="D23" s="185">
        <v>1378025.07</v>
      </c>
      <c r="E23" s="24">
        <v>1378025.07</v>
      </c>
      <c r="F23" s="24">
        <v>150</v>
      </c>
      <c r="G23" s="24">
        <v>1000</v>
      </c>
      <c r="H23" s="24"/>
      <c r="I23" s="25">
        <v>1385700</v>
      </c>
    </row>
    <row r="24" spans="1:9" s="7" customFormat="1">
      <c r="A24" s="22" t="s">
        <v>37</v>
      </c>
      <c r="B24" s="23" t="s">
        <v>38</v>
      </c>
      <c r="C24" s="170">
        <v>54782.31</v>
      </c>
      <c r="D24" s="185"/>
      <c r="E24" s="24">
        <v>0</v>
      </c>
      <c r="F24" s="24"/>
      <c r="G24" s="24"/>
      <c r="H24" s="24"/>
      <c r="I24" s="25">
        <v>77200</v>
      </c>
    </row>
    <row r="25" spans="1:9" s="7" customFormat="1">
      <c r="A25" s="18" t="s">
        <v>39</v>
      </c>
      <c r="B25" s="19"/>
      <c r="C25" s="169">
        <v>51329958.130000003</v>
      </c>
      <c r="D25" s="184">
        <v>76252748.409999996</v>
      </c>
      <c r="E25" s="20">
        <v>82809363.260000005</v>
      </c>
      <c r="F25" s="20">
        <v>33120701.530000001</v>
      </c>
      <c r="G25" s="20">
        <v>59366000</v>
      </c>
      <c r="H25" s="20">
        <v>0</v>
      </c>
      <c r="I25" s="21">
        <v>66735180.350000001</v>
      </c>
    </row>
    <row r="26" spans="1:9" s="7" customFormat="1">
      <c r="A26" s="22" t="s">
        <v>40</v>
      </c>
      <c r="B26" s="23" t="s">
        <v>41</v>
      </c>
      <c r="C26" s="170">
        <v>283890.53999999998</v>
      </c>
      <c r="D26" s="185">
        <v>622430.56000000006</v>
      </c>
      <c r="E26" s="24">
        <v>767709.94000000006</v>
      </c>
      <c r="F26" s="24">
        <v>157550.79999999999</v>
      </c>
      <c r="G26" s="24">
        <v>398600</v>
      </c>
      <c r="H26" s="24">
        <v>0</v>
      </c>
      <c r="I26" s="25">
        <v>410500</v>
      </c>
    </row>
    <row r="27" spans="1:9" s="7" customFormat="1">
      <c r="A27" s="26" t="s">
        <v>42</v>
      </c>
      <c r="B27" s="27" t="s">
        <v>43</v>
      </c>
      <c r="C27" s="172">
        <v>283890.53999999998</v>
      </c>
      <c r="D27" s="187">
        <v>622430.56000000006</v>
      </c>
      <c r="E27" s="35">
        <v>767709.94000000006</v>
      </c>
      <c r="F27" s="35">
        <v>157550.79999999999</v>
      </c>
      <c r="G27" s="35">
        <v>398600</v>
      </c>
      <c r="H27" s="35"/>
      <c r="I27" s="36">
        <v>390500</v>
      </c>
    </row>
    <row r="28" spans="1:9" s="7" customFormat="1" ht="25.5">
      <c r="A28" s="26" t="s">
        <v>44</v>
      </c>
      <c r="B28" s="27" t="s">
        <v>45</v>
      </c>
      <c r="C28" s="172">
        <v>0</v>
      </c>
      <c r="D28" s="187"/>
      <c r="E28" s="35">
        <v>0</v>
      </c>
      <c r="F28" s="35"/>
      <c r="G28" s="35"/>
      <c r="H28" s="35"/>
      <c r="I28" s="36"/>
    </row>
    <row r="29" spans="1:9" s="7" customFormat="1">
      <c r="A29" s="26" t="s">
        <v>46</v>
      </c>
      <c r="B29" s="31" t="s">
        <v>47</v>
      </c>
      <c r="C29" s="172">
        <v>0</v>
      </c>
      <c r="D29" s="187"/>
      <c r="E29" s="35">
        <v>0</v>
      </c>
      <c r="F29" s="35"/>
      <c r="G29" s="35"/>
      <c r="H29" s="35"/>
      <c r="I29" s="36">
        <v>20000</v>
      </c>
    </row>
    <row r="30" spans="1:9" s="7" customFormat="1">
      <c r="A30" s="22" t="s">
        <v>48</v>
      </c>
      <c r="B30" s="32">
        <v>61</v>
      </c>
      <c r="C30" s="170">
        <v>1374767.6599999997</v>
      </c>
      <c r="D30" s="185">
        <v>1505425</v>
      </c>
      <c r="E30" s="24">
        <v>1576917.82</v>
      </c>
      <c r="F30" s="24">
        <v>710361.1</v>
      </c>
      <c r="G30" s="24">
        <v>1300000</v>
      </c>
      <c r="H30" s="24"/>
      <c r="I30" s="25">
        <v>1664291.44</v>
      </c>
    </row>
    <row r="31" spans="1:9" s="7" customFormat="1">
      <c r="A31" s="22" t="s">
        <v>49</v>
      </c>
      <c r="B31" s="32">
        <v>62</v>
      </c>
      <c r="C31" s="170">
        <v>61952.670000000006</v>
      </c>
      <c r="D31" s="185">
        <v>59239.119999999995</v>
      </c>
      <c r="E31" s="24">
        <v>130650</v>
      </c>
      <c r="F31" s="24">
        <v>19611.150000000001</v>
      </c>
      <c r="G31" s="24">
        <v>78000</v>
      </c>
      <c r="H31" s="24"/>
      <c r="I31" s="25">
        <v>108000</v>
      </c>
    </row>
    <row r="32" spans="1:9" s="7" customFormat="1" ht="25.5">
      <c r="A32" s="30" t="s">
        <v>50</v>
      </c>
      <c r="B32" s="31" t="s">
        <v>51</v>
      </c>
      <c r="C32" s="172">
        <v>0</v>
      </c>
      <c r="D32" s="187"/>
      <c r="E32" s="35">
        <v>0</v>
      </c>
      <c r="F32" s="35"/>
      <c r="G32" s="35"/>
      <c r="H32" s="35"/>
      <c r="I32" s="36"/>
    </row>
    <row r="33" spans="1:9" s="7" customFormat="1">
      <c r="A33" s="30" t="s">
        <v>52</v>
      </c>
      <c r="B33" s="31" t="s">
        <v>53</v>
      </c>
      <c r="C33" s="172">
        <v>0</v>
      </c>
      <c r="D33" s="187"/>
      <c r="E33" s="35">
        <v>0</v>
      </c>
      <c r="F33" s="35"/>
      <c r="G33" s="35"/>
      <c r="H33" s="35"/>
      <c r="I33" s="36"/>
    </row>
    <row r="34" spans="1:9" s="7" customFormat="1">
      <c r="A34" s="30" t="s">
        <v>54</v>
      </c>
      <c r="B34" s="31" t="s">
        <v>55</v>
      </c>
      <c r="C34" s="172">
        <v>0</v>
      </c>
      <c r="D34" s="187"/>
      <c r="E34" s="35">
        <v>0</v>
      </c>
      <c r="F34" s="35"/>
      <c r="G34" s="35"/>
      <c r="H34" s="35"/>
      <c r="I34" s="36"/>
    </row>
    <row r="35" spans="1:9" s="7" customFormat="1">
      <c r="A35" s="30" t="s">
        <v>56</v>
      </c>
      <c r="B35" s="31" t="s">
        <v>57</v>
      </c>
      <c r="C35" s="172">
        <v>34228.14</v>
      </c>
      <c r="D35" s="187">
        <v>34239.119999999995</v>
      </c>
      <c r="E35" s="35">
        <v>105650</v>
      </c>
      <c r="F35" s="35">
        <v>2328.7199999999998</v>
      </c>
      <c r="G35" s="35">
        <v>25000</v>
      </c>
      <c r="H35" s="35"/>
      <c r="I35" s="36">
        <v>48000</v>
      </c>
    </row>
    <row r="36" spans="1:9" s="7" customFormat="1" ht="25.5">
      <c r="A36" s="22" t="s">
        <v>58</v>
      </c>
      <c r="B36" s="23" t="s">
        <v>59</v>
      </c>
      <c r="C36" s="170">
        <v>21612.84</v>
      </c>
      <c r="D36" s="185">
        <v>138500</v>
      </c>
      <c r="E36" s="24">
        <v>153000</v>
      </c>
      <c r="F36" s="24"/>
      <c r="G36" s="24">
        <v>26000</v>
      </c>
      <c r="H36" s="24"/>
      <c r="I36" s="25">
        <v>140500</v>
      </c>
    </row>
    <row r="37" spans="1:9" s="7" customFormat="1">
      <c r="A37" s="30" t="s">
        <v>60</v>
      </c>
      <c r="B37" s="27" t="s">
        <v>61</v>
      </c>
      <c r="C37" s="172"/>
      <c r="D37" s="187"/>
      <c r="E37" s="35">
        <v>0</v>
      </c>
      <c r="F37" s="35"/>
      <c r="G37" s="35"/>
      <c r="H37" s="35"/>
      <c r="I37" s="36"/>
    </row>
    <row r="38" spans="1:9" s="7" customFormat="1" ht="76.5">
      <c r="A38" s="22" t="s">
        <v>62</v>
      </c>
      <c r="B38" s="37" t="s">
        <v>63</v>
      </c>
      <c r="C38" s="170">
        <v>49521614.259999998</v>
      </c>
      <c r="D38" s="170">
        <v>72853853.729999989</v>
      </c>
      <c r="E38" s="170">
        <v>76121691.569999993</v>
      </c>
      <c r="F38" s="24">
        <v>32198588.25</v>
      </c>
      <c r="G38" s="24">
        <v>57482300</v>
      </c>
      <c r="H38" s="24"/>
      <c r="I38" s="25">
        <v>63260788.910000004</v>
      </c>
    </row>
    <row r="39" spans="1:9" s="7" customFormat="1" ht="25.5">
      <c r="A39" s="30" t="s">
        <v>64</v>
      </c>
      <c r="B39" s="27" t="s">
        <v>65</v>
      </c>
      <c r="C39" s="172">
        <v>48785361.939999998</v>
      </c>
      <c r="D39" s="172">
        <v>72053399.50999999</v>
      </c>
      <c r="E39" s="172">
        <v>75144245.559999987</v>
      </c>
      <c r="F39" s="172">
        <v>32036352.890000001</v>
      </c>
      <c r="G39" s="35">
        <v>57000000</v>
      </c>
      <c r="H39" s="35"/>
      <c r="I39" s="36">
        <v>62505338.910000004</v>
      </c>
    </row>
    <row r="40" spans="1:9" s="7" customFormat="1">
      <c r="A40" s="22" t="s">
        <v>66</v>
      </c>
      <c r="B40" s="38" t="s">
        <v>67</v>
      </c>
      <c r="C40" s="170">
        <v>460.34</v>
      </c>
      <c r="D40" s="185">
        <v>10300</v>
      </c>
      <c r="E40" s="24">
        <v>10400</v>
      </c>
      <c r="F40" s="24">
        <v>29.62</v>
      </c>
      <c r="G40" s="24">
        <v>6100</v>
      </c>
      <c r="H40" s="24"/>
      <c r="I40" s="25">
        <v>1700</v>
      </c>
    </row>
    <row r="41" spans="1:9" s="7" customFormat="1" ht="38.25">
      <c r="A41" s="39" t="s">
        <v>68</v>
      </c>
      <c r="B41" s="40"/>
      <c r="C41" s="173"/>
      <c r="D41" s="188"/>
      <c r="E41" s="41">
        <v>0</v>
      </c>
      <c r="F41" s="41"/>
      <c r="G41" s="41"/>
      <c r="H41" s="41"/>
      <c r="I41" s="42"/>
    </row>
    <row r="42" spans="1:9" s="7" customFormat="1">
      <c r="A42" s="22" t="s">
        <v>69</v>
      </c>
      <c r="B42" s="37" t="s">
        <v>70</v>
      </c>
      <c r="C42" s="170">
        <v>0</v>
      </c>
      <c r="D42" s="185"/>
      <c r="E42" s="24">
        <v>0</v>
      </c>
      <c r="F42" s="24">
        <v>0</v>
      </c>
      <c r="G42" s="24"/>
      <c r="H42" s="24"/>
      <c r="I42" s="25">
        <v>9000</v>
      </c>
    </row>
    <row r="43" spans="1:9" s="7" customFormat="1" ht="25.5">
      <c r="A43" s="22" t="s">
        <v>71</v>
      </c>
      <c r="B43" s="37" t="s">
        <v>72</v>
      </c>
      <c r="C43" s="170">
        <v>65659.839999999997</v>
      </c>
      <c r="D43" s="185">
        <v>1063000</v>
      </c>
      <c r="E43" s="24">
        <v>4048993.93</v>
      </c>
      <c r="F43" s="24">
        <v>34560.61</v>
      </c>
      <c r="G43" s="24">
        <v>75000</v>
      </c>
      <c r="H43" s="24"/>
      <c r="I43" s="25">
        <v>1140400</v>
      </c>
    </row>
    <row r="44" spans="1:9" s="7" customFormat="1">
      <c r="A44" s="30" t="s">
        <v>73</v>
      </c>
      <c r="B44" s="31" t="s">
        <v>74</v>
      </c>
      <c r="C44" s="172">
        <v>65659.839999999997</v>
      </c>
      <c r="D44" s="187">
        <v>38000</v>
      </c>
      <c r="E44" s="35">
        <v>47313.93</v>
      </c>
      <c r="F44" s="35">
        <v>34560.61</v>
      </c>
      <c r="G44" s="35">
        <v>47300</v>
      </c>
      <c r="H44" s="35"/>
      <c r="I44" s="36">
        <v>69000</v>
      </c>
    </row>
    <row r="45" spans="1:9" s="7" customFormat="1" ht="38.25">
      <c r="A45" s="22" t="s">
        <v>75</v>
      </c>
      <c r="B45" s="37" t="s">
        <v>76</v>
      </c>
      <c r="C45" s="170"/>
      <c r="D45" s="185"/>
      <c r="E45" s="24">
        <v>0</v>
      </c>
      <c r="F45" s="24"/>
      <c r="G45" s="24"/>
      <c r="H45" s="24"/>
      <c r="I45" s="25"/>
    </row>
    <row r="46" spans="1:9" s="7" customFormat="1" ht="13.5" thickBot="1">
      <c r="A46" s="43" t="s">
        <v>77</v>
      </c>
      <c r="B46" s="44"/>
      <c r="C46" s="45">
        <v>22989499.509999998</v>
      </c>
      <c r="D46" s="45">
        <v>6216499.9999999851</v>
      </c>
      <c r="E46" s="45">
        <v>-580536.53000001609</v>
      </c>
      <c r="F46" s="45">
        <v>25951802.199999996</v>
      </c>
      <c r="G46" s="45">
        <v>11444520.519999996</v>
      </c>
      <c r="H46" s="45">
        <v>0</v>
      </c>
      <c r="I46" s="46">
        <v>11851558.910000004</v>
      </c>
    </row>
    <row r="47" spans="1:9" s="7" customFormat="1" ht="16.5" thickTop="1">
      <c r="A47" s="47" t="s">
        <v>78</v>
      </c>
      <c r="C47" s="9"/>
      <c r="D47" s="9"/>
      <c r="E47" s="9"/>
      <c r="F47" s="9"/>
      <c r="G47" s="9"/>
      <c r="H47" s="9"/>
      <c r="I47" s="9"/>
    </row>
    <row r="48" spans="1:9" s="7" customFormat="1" ht="15.75">
      <c r="A48" s="47" t="s">
        <v>79</v>
      </c>
      <c r="C48" s="9"/>
      <c r="D48" s="9"/>
      <c r="E48" s="9"/>
      <c r="F48" s="9"/>
      <c r="G48" s="9"/>
      <c r="H48" s="9"/>
      <c r="I48" s="9"/>
    </row>
    <row r="49" spans="1:9" s="7" customFormat="1" ht="13.5" thickBot="1">
      <c r="A49" s="48" t="s">
        <v>80</v>
      </c>
      <c r="C49" s="9"/>
      <c r="D49" s="9"/>
      <c r="E49" s="9"/>
      <c r="F49" s="9"/>
      <c r="G49" s="9"/>
      <c r="H49" s="9"/>
      <c r="I49" s="9"/>
    </row>
    <row r="50" spans="1:9" s="7" customFormat="1" ht="77.25" thickTop="1">
      <c r="A50" s="49" t="s">
        <v>81</v>
      </c>
      <c r="B50" s="50" t="s">
        <v>82</v>
      </c>
      <c r="C50" s="50" t="s">
        <v>9</v>
      </c>
      <c r="D50" s="50" t="s">
        <v>10</v>
      </c>
      <c r="E50" s="14" t="s">
        <v>11</v>
      </c>
      <c r="F50" s="14" t="s">
        <v>12</v>
      </c>
      <c r="G50" s="15" t="s">
        <v>13</v>
      </c>
      <c r="H50" s="16" t="s">
        <v>14</v>
      </c>
      <c r="I50" s="17" t="s">
        <v>15</v>
      </c>
    </row>
    <row r="51" spans="1:9" s="7" customFormat="1">
      <c r="A51" s="51" t="s">
        <v>83</v>
      </c>
      <c r="B51" s="52"/>
      <c r="C51" s="53"/>
      <c r="D51" s="53"/>
      <c r="E51" s="53"/>
      <c r="F51" s="53"/>
      <c r="G51" s="53"/>
      <c r="H51" s="53"/>
      <c r="I51" s="54"/>
    </row>
    <row r="52" spans="1:9" s="7" customFormat="1" ht="25.5">
      <c r="A52" s="55" t="s">
        <v>84</v>
      </c>
      <c r="B52" s="56" t="s">
        <v>85</v>
      </c>
      <c r="C52" s="57"/>
      <c r="D52" s="57"/>
      <c r="E52" s="57"/>
      <c r="F52" s="57"/>
      <c r="G52" s="57"/>
      <c r="H52" s="57"/>
      <c r="I52" s="58"/>
    </row>
    <row r="53" spans="1:9" s="7" customFormat="1" ht="25.5">
      <c r="A53" s="55" t="s">
        <v>86</v>
      </c>
      <c r="B53" s="56"/>
      <c r="C53" s="174">
        <v>96809.71</v>
      </c>
      <c r="D53" s="57">
        <v>50000</v>
      </c>
      <c r="E53" s="57">
        <v>50000</v>
      </c>
      <c r="F53" s="57"/>
      <c r="G53" s="57">
        <v>50000</v>
      </c>
      <c r="H53" s="57"/>
      <c r="I53" s="58">
        <v>50000</v>
      </c>
    </row>
    <row r="54" spans="1:9" s="7" customFormat="1" ht="38.25">
      <c r="A54" s="55" t="s">
        <v>87</v>
      </c>
      <c r="B54" s="56"/>
      <c r="C54" s="174"/>
      <c r="D54" s="57"/>
      <c r="E54" s="57"/>
      <c r="F54" s="57"/>
      <c r="G54" s="57"/>
      <c r="H54" s="57"/>
      <c r="I54" s="58"/>
    </row>
    <row r="55" spans="1:9" s="7" customFormat="1">
      <c r="A55" s="51" t="s">
        <v>88</v>
      </c>
      <c r="B55" s="52"/>
      <c r="C55" s="175"/>
      <c r="D55" s="53"/>
      <c r="E55" s="53"/>
      <c r="F55" s="53"/>
      <c r="G55" s="53"/>
      <c r="H55" s="53"/>
      <c r="I55" s="54"/>
    </row>
    <row r="56" spans="1:9" s="7" customFormat="1" ht="25.5">
      <c r="A56" s="55" t="s">
        <v>89</v>
      </c>
      <c r="B56" s="56" t="s">
        <v>90</v>
      </c>
      <c r="C56" s="174"/>
      <c r="D56" s="57"/>
      <c r="E56" s="57"/>
      <c r="F56" s="57"/>
      <c r="G56" s="57"/>
      <c r="H56" s="57"/>
      <c r="I56" s="58"/>
    </row>
    <row r="57" spans="1:9" s="7" customFormat="1">
      <c r="A57" s="55" t="s">
        <v>91</v>
      </c>
      <c r="B57" s="56"/>
      <c r="C57" s="174">
        <v>14226.83</v>
      </c>
      <c r="D57" s="57">
        <v>50000</v>
      </c>
      <c r="E57" s="57">
        <v>50000</v>
      </c>
      <c r="F57" s="57"/>
      <c r="G57" s="57">
        <v>50000</v>
      </c>
      <c r="H57" s="57"/>
      <c r="I57" s="58">
        <v>50000</v>
      </c>
    </row>
    <row r="58" spans="1:9" s="7" customFormat="1" ht="25.5">
      <c r="A58" s="55" t="s">
        <v>92</v>
      </c>
      <c r="B58" s="56"/>
      <c r="C58" s="57"/>
      <c r="D58" s="57"/>
      <c r="E58" s="57"/>
      <c r="F58" s="57"/>
      <c r="G58" s="57"/>
      <c r="H58" s="57"/>
      <c r="I58" s="58"/>
    </row>
    <row r="59" spans="1:9" s="7" customFormat="1">
      <c r="A59" s="51" t="s">
        <v>93</v>
      </c>
      <c r="B59" s="59"/>
      <c r="C59" s="57"/>
      <c r="D59" s="57"/>
      <c r="E59" s="57"/>
      <c r="F59" s="57"/>
      <c r="G59" s="57"/>
      <c r="H59" s="57"/>
      <c r="I59" s="58"/>
    </row>
    <row r="60" spans="1:9" s="7" customFormat="1" ht="25.5">
      <c r="A60" s="55" t="s">
        <v>94</v>
      </c>
      <c r="B60" s="56">
        <v>43</v>
      </c>
      <c r="C60" s="57"/>
      <c r="D60" s="57"/>
      <c r="E60" s="57"/>
      <c r="F60" s="57"/>
      <c r="G60" s="57"/>
      <c r="H60" s="57"/>
      <c r="I60" s="58"/>
    </row>
    <row r="61" spans="1:9" s="7" customFormat="1">
      <c r="A61" s="60" t="s">
        <v>95</v>
      </c>
      <c r="B61" s="61"/>
      <c r="C61" s="62"/>
      <c r="D61" s="62"/>
      <c r="E61" s="62"/>
      <c r="F61" s="62"/>
      <c r="G61" s="62"/>
      <c r="H61" s="62"/>
      <c r="I61" s="63"/>
    </row>
    <row r="62" spans="1:9" s="7" customFormat="1">
      <c r="A62" s="60" t="s">
        <v>96</v>
      </c>
      <c r="B62" s="61"/>
      <c r="C62" s="62"/>
      <c r="D62" s="62"/>
      <c r="E62" s="62"/>
      <c r="F62" s="62"/>
      <c r="G62" s="62"/>
      <c r="H62" s="62"/>
      <c r="I62" s="63"/>
    </row>
    <row r="63" spans="1:9" s="7" customFormat="1" ht="25.5">
      <c r="A63" s="55" t="s">
        <v>97</v>
      </c>
      <c r="B63" s="56"/>
      <c r="C63" s="57"/>
      <c r="D63" s="57"/>
      <c r="E63" s="57"/>
      <c r="F63" s="57"/>
      <c r="G63" s="57"/>
      <c r="H63" s="57"/>
      <c r="I63" s="58"/>
    </row>
    <row r="64" spans="1:9" s="7" customFormat="1" ht="25.5">
      <c r="A64" s="55" t="s">
        <v>98</v>
      </c>
      <c r="B64" s="56"/>
      <c r="C64" s="57"/>
      <c r="D64" s="57"/>
      <c r="E64" s="57"/>
      <c r="F64" s="57"/>
      <c r="G64" s="57"/>
      <c r="H64" s="57"/>
      <c r="I64" s="58"/>
    </row>
    <row r="65" spans="1:9" s="7" customFormat="1" ht="25.5">
      <c r="A65" s="55" t="s">
        <v>99</v>
      </c>
      <c r="B65" s="56"/>
      <c r="C65" s="57"/>
      <c r="D65" s="57"/>
      <c r="E65" s="57"/>
      <c r="F65" s="57"/>
      <c r="G65" s="57"/>
      <c r="H65" s="57"/>
      <c r="I65" s="58"/>
    </row>
    <row r="66" spans="1:9" s="7" customFormat="1" ht="13.5" thickBot="1">
      <c r="A66" s="64" t="s">
        <v>100</v>
      </c>
      <c r="B66" s="65"/>
      <c r="C66" s="66"/>
      <c r="D66" s="66"/>
      <c r="E66" s="66"/>
      <c r="F66" s="66"/>
      <c r="G66" s="66"/>
      <c r="H66" s="66"/>
      <c r="I66" s="67"/>
    </row>
    <row r="67" spans="1:9" s="7" customFormat="1" ht="16.5" thickTop="1">
      <c r="A67" s="47" t="s">
        <v>101</v>
      </c>
      <c r="B67" s="68"/>
      <c r="C67" s="69"/>
      <c r="D67" s="69"/>
      <c r="E67" s="69"/>
      <c r="F67" s="69"/>
      <c r="G67" s="69"/>
      <c r="H67" s="69"/>
      <c r="I67" s="69"/>
    </row>
    <row r="68" spans="1:9" s="7" customFormat="1" ht="15.75">
      <c r="A68" s="47" t="s">
        <v>79</v>
      </c>
      <c r="B68" s="70"/>
      <c r="C68" s="176"/>
      <c r="D68" s="176"/>
      <c r="E68" s="71"/>
      <c r="F68" s="71"/>
      <c r="G68" s="71"/>
      <c r="H68" s="71"/>
      <c r="I68" s="71"/>
    </row>
    <row r="69" spans="1:9" s="7" customFormat="1" ht="23.25" customHeight="1" thickBot="1">
      <c r="A69" s="72" t="s">
        <v>102</v>
      </c>
      <c r="B69" s="73"/>
      <c r="C69" s="177"/>
      <c r="D69" s="177"/>
      <c r="E69" s="73"/>
      <c r="F69" s="73"/>
      <c r="G69" s="73"/>
      <c r="H69" s="73"/>
      <c r="I69" s="73"/>
    </row>
    <row r="70" spans="1:9" s="7" customFormat="1" ht="13.5" thickTop="1">
      <c r="A70" s="74"/>
      <c r="B70" s="75"/>
      <c r="C70" s="76">
        <v>43830</v>
      </c>
      <c r="D70" s="189"/>
      <c r="E70" s="76">
        <v>44012</v>
      </c>
      <c r="F70" s="76" t="s">
        <v>103</v>
      </c>
      <c r="G70" s="77"/>
      <c r="H70" s="77"/>
      <c r="I70" s="78"/>
    </row>
    <row r="71" spans="1:9" s="7" customFormat="1">
      <c r="A71" s="51" t="s">
        <v>104</v>
      </c>
      <c r="B71" s="52"/>
      <c r="C71" s="79"/>
      <c r="D71" s="80"/>
      <c r="E71" s="79"/>
      <c r="F71" s="79"/>
      <c r="G71" s="81"/>
      <c r="H71" s="81"/>
      <c r="I71" s="78">
        <v>67306583.150000006</v>
      </c>
    </row>
    <row r="72" spans="1:9" s="7" customFormat="1">
      <c r="A72" s="82">
        <v>1</v>
      </c>
      <c r="B72" s="83" t="s">
        <v>105</v>
      </c>
      <c r="C72" s="84">
        <v>41354780.950000003</v>
      </c>
      <c r="D72" s="85"/>
      <c r="E72" s="84">
        <v>85868716.260000005</v>
      </c>
      <c r="F72" s="84">
        <v>45200000</v>
      </c>
      <c r="G72" s="86"/>
      <c r="H72" s="86"/>
      <c r="I72" s="78">
        <v>52799301.469999999</v>
      </c>
    </row>
    <row r="73" spans="1:9" s="7" customFormat="1">
      <c r="A73" s="87"/>
      <c r="B73" s="88" t="s">
        <v>106</v>
      </c>
      <c r="C73" s="79">
        <v>0</v>
      </c>
      <c r="D73" s="85"/>
      <c r="E73" s="79">
        <v>0</v>
      </c>
      <c r="F73" s="79">
        <v>0</v>
      </c>
      <c r="G73" s="86"/>
      <c r="H73" s="86"/>
      <c r="I73" s="78"/>
    </row>
    <row r="74" spans="1:9" s="7" customFormat="1">
      <c r="A74" s="87"/>
      <c r="B74" s="88" t="s">
        <v>107</v>
      </c>
      <c r="C74" s="79"/>
      <c r="D74" s="85"/>
      <c r="E74" s="79"/>
      <c r="F74" s="79"/>
      <c r="G74" s="86"/>
      <c r="H74" s="86"/>
      <c r="I74" s="78"/>
    </row>
    <row r="75" spans="1:9" s="7" customFormat="1">
      <c r="A75" s="87"/>
      <c r="B75" s="88" t="s">
        <v>108</v>
      </c>
      <c r="C75" s="79"/>
      <c r="D75" s="85"/>
      <c r="E75" s="79"/>
      <c r="F75" s="79"/>
      <c r="G75" s="86"/>
      <c r="H75" s="86"/>
      <c r="I75" s="78"/>
    </row>
    <row r="76" spans="1:9" s="7" customFormat="1">
      <c r="A76" s="87"/>
      <c r="B76" s="88" t="s">
        <v>109</v>
      </c>
      <c r="C76" s="79">
        <v>3187803.77</v>
      </c>
      <c r="D76" s="85"/>
      <c r="E76" s="79">
        <v>4173842.09</v>
      </c>
      <c r="F76" s="79">
        <v>3200000</v>
      </c>
      <c r="G76" s="86"/>
      <c r="H76" s="86"/>
      <c r="I76" s="78"/>
    </row>
    <row r="77" spans="1:9" s="7" customFormat="1">
      <c r="A77" s="87"/>
      <c r="B77" s="88" t="s">
        <v>107</v>
      </c>
      <c r="C77" s="237">
        <v>3187803.77</v>
      </c>
      <c r="D77" s="85"/>
      <c r="E77" s="238">
        <v>4173842.09</v>
      </c>
      <c r="F77" s="79">
        <v>3200000</v>
      </c>
      <c r="G77" s="86"/>
      <c r="H77" s="86"/>
      <c r="I77" s="78"/>
    </row>
    <row r="78" spans="1:9" s="7" customFormat="1">
      <c r="A78" s="87"/>
      <c r="B78" s="88" t="s">
        <v>108</v>
      </c>
      <c r="C78" s="79"/>
      <c r="D78" s="85"/>
      <c r="E78" s="79"/>
      <c r="F78" s="79"/>
      <c r="G78" s="86"/>
      <c r="H78" s="86"/>
      <c r="I78" s="78"/>
    </row>
    <row r="79" spans="1:9" s="7" customFormat="1">
      <c r="A79" s="87"/>
      <c r="B79" s="88" t="s">
        <v>110</v>
      </c>
      <c r="C79" s="79">
        <v>38166977.18</v>
      </c>
      <c r="D79" s="85"/>
      <c r="E79" s="79">
        <v>81694874.170000002</v>
      </c>
      <c r="F79" s="79">
        <v>42000000</v>
      </c>
      <c r="G79" s="86"/>
      <c r="H79" s="86"/>
      <c r="I79" s="78"/>
    </row>
    <row r="80" spans="1:9" s="7" customFormat="1">
      <c r="A80" s="87"/>
      <c r="B80" s="88" t="s">
        <v>111</v>
      </c>
      <c r="C80" s="79"/>
      <c r="D80" s="85"/>
      <c r="E80" s="79"/>
      <c r="F80" s="79"/>
      <c r="G80" s="86"/>
      <c r="H80" s="86"/>
      <c r="I80" s="78"/>
    </row>
    <row r="81" spans="1:9" s="7" customFormat="1">
      <c r="A81" s="87"/>
      <c r="B81" s="88" t="s">
        <v>108</v>
      </c>
      <c r="C81" s="237">
        <v>38166977.18</v>
      </c>
      <c r="D81" s="80"/>
      <c r="E81" s="238">
        <v>81694874.170000002</v>
      </c>
      <c r="F81" s="79">
        <v>42000000</v>
      </c>
      <c r="G81" s="81"/>
      <c r="H81" s="81"/>
      <c r="I81" s="78"/>
    </row>
    <row r="82" spans="1:9" s="7" customFormat="1">
      <c r="A82" s="82">
        <v>2</v>
      </c>
      <c r="B82" s="83" t="s">
        <v>112</v>
      </c>
      <c r="C82" s="84">
        <v>1506520.23</v>
      </c>
      <c r="D82" s="85"/>
      <c r="E82" s="84">
        <v>1506520.23</v>
      </c>
      <c r="F82" s="84">
        <v>1550000</v>
      </c>
      <c r="G82" s="86"/>
      <c r="H82" s="86"/>
      <c r="I82" s="78"/>
    </row>
    <row r="83" spans="1:9" s="7" customFormat="1" ht="25.5">
      <c r="A83" s="87"/>
      <c r="B83" s="88" t="s">
        <v>113</v>
      </c>
      <c r="C83" s="79"/>
      <c r="D83" s="85"/>
      <c r="E83" s="79"/>
      <c r="F83" s="79"/>
      <c r="G83" s="86"/>
      <c r="H83" s="86"/>
      <c r="I83" s="78"/>
    </row>
    <row r="84" spans="1:9" s="7" customFormat="1" ht="25.5">
      <c r="A84" s="87"/>
      <c r="B84" s="88" t="s">
        <v>114</v>
      </c>
      <c r="C84" s="79"/>
      <c r="D84" s="85"/>
      <c r="E84" s="79"/>
      <c r="F84" s="79"/>
      <c r="G84" s="86"/>
      <c r="H84" s="86"/>
      <c r="I84" s="78"/>
    </row>
    <row r="85" spans="1:9" s="7" customFormat="1" ht="25.5">
      <c r="A85" s="87"/>
      <c r="B85" s="88" t="s">
        <v>115</v>
      </c>
      <c r="C85" s="237">
        <v>1506520.23</v>
      </c>
      <c r="D85" s="89"/>
      <c r="E85" s="79">
        <v>1506520.23</v>
      </c>
      <c r="F85" s="79">
        <v>1550000</v>
      </c>
      <c r="G85" s="90"/>
      <c r="H85" s="90"/>
      <c r="I85" s="78"/>
    </row>
    <row r="86" spans="1:9" s="7" customFormat="1">
      <c r="A86" s="82">
        <v>3</v>
      </c>
      <c r="B86" s="91" t="s">
        <v>116</v>
      </c>
      <c r="C86" s="84">
        <v>0</v>
      </c>
      <c r="D86" s="89"/>
      <c r="E86" s="84">
        <v>0</v>
      </c>
      <c r="F86" s="84">
        <v>0</v>
      </c>
      <c r="G86" s="90"/>
      <c r="H86" s="90"/>
      <c r="I86" s="78"/>
    </row>
    <row r="87" spans="1:9" s="7" customFormat="1" ht="25.5">
      <c r="A87" s="87"/>
      <c r="B87" s="88" t="s">
        <v>117</v>
      </c>
      <c r="C87" s="79"/>
      <c r="D87" s="85"/>
      <c r="E87" s="79"/>
      <c r="F87" s="79"/>
      <c r="G87" s="86"/>
      <c r="H87" s="86"/>
      <c r="I87" s="78"/>
    </row>
    <row r="88" spans="1:9" s="7" customFormat="1" ht="13.5" thickBot="1">
      <c r="A88" s="87"/>
      <c r="B88" s="88" t="s">
        <v>118</v>
      </c>
      <c r="C88" s="79"/>
      <c r="D88" s="92"/>
      <c r="E88" s="79"/>
      <c r="F88" s="79"/>
      <c r="G88" s="93"/>
      <c r="H88" s="93"/>
      <c r="I88" s="78"/>
    </row>
    <row r="89" spans="1:9" s="7" customFormat="1" ht="13.5" thickTop="1">
      <c r="A89" s="51" t="s">
        <v>119</v>
      </c>
      <c r="B89" s="52"/>
      <c r="C89" s="53"/>
      <c r="D89" s="85"/>
      <c r="E89" s="53"/>
      <c r="F89" s="53"/>
      <c r="G89" s="86"/>
      <c r="H89" s="86"/>
      <c r="I89" s="78"/>
    </row>
    <row r="90" spans="1:9" s="7" customFormat="1" ht="25.5">
      <c r="A90" s="82">
        <v>4</v>
      </c>
      <c r="B90" s="83" t="s">
        <v>120</v>
      </c>
      <c r="C90" s="94">
        <v>0</v>
      </c>
      <c r="D90" s="85"/>
      <c r="E90" s="94">
        <v>0</v>
      </c>
      <c r="F90" s="94">
        <v>0</v>
      </c>
      <c r="G90" s="86"/>
      <c r="H90" s="86"/>
      <c r="I90" s="78"/>
    </row>
    <row r="91" spans="1:9" s="7" customFormat="1">
      <c r="A91" s="87"/>
      <c r="B91" s="88" t="s">
        <v>121</v>
      </c>
      <c r="C91" s="79"/>
      <c r="D91" s="85"/>
      <c r="E91" s="79"/>
      <c r="F91" s="79"/>
      <c r="G91" s="86"/>
      <c r="H91" s="86"/>
      <c r="I91" s="78"/>
    </row>
    <row r="92" spans="1:9" s="7" customFormat="1" ht="13.5" thickBot="1">
      <c r="A92" s="95"/>
      <c r="B92" s="96" t="s">
        <v>122</v>
      </c>
      <c r="C92" s="97"/>
      <c r="D92" s="85"/>
      <c r="E92" s="97"/>
      <c r="F92" s="97"/>
      <c r="G92" s="86"/>
      <c r="H92" s="86"/>
      <c r="I92" s="78"/>
    </row>
    <row r="93" spans="1:9" s="7" customFormat="1" ht="13.5" thickTop="1">
      <c r="A93" s="82">
        <v>5</v>
      </c>
      <c r="B93" s="83" t="s">
        <v>123</v>
      </c>
      <c r="C93" s="94">
        <v>0</v>
      </c>
      <c r="D93" s="80"/>
      <c r="E93" s="94">
        <v>0</v>
      </c>
      <c r="F93" s="94">
        <v>0</v>
      </c>
      <c r="G93" s="81"/>
      <c r="H93" s="81"/>
      <c r="I93" s="78"/>
    </row>
    <row r="94" spans="1:9" s="7" customFormat="1" ht="25.5">
      <c r="A94" s="87"/>
      <c r="B94" s="88" t="s">
        <v>124</v>
      </c>
      <c r="C94" s="79"/>
      <c r="D94" s="85"/>
      <c r="E94" s="79"/>
      <c r="F94" s="79"/>
      <c r="G94" s="86"/>
      <c r="H94" s="86"/>
      <c r="I94" s="78"/>
    </row>
    <row r="95" spans="1:9" s="7" customFormat="1" ht="13.5" thickBot="1">
      <c r="A95" s="95"/>
      <c r="B95" s="96" t="s">
        <v>125</v>
      </c>
      <c r="C95" s="97"/>
      <c r="D95" s="85"/>
      <c r="E95" s="97"/>
      <c r="F95" s="97"/>
      <c r="G95" s="86"/>
      <c r="H95" s="86"/>
      <c r="I95" s="78"/>
    </row>
    <row r="96" spans="1:9" s="7" customFormat="1" ht="14.25" thickTop="1" thickBot="1">
      <c r="A96" s="98"/>
      <c r="B96" s="99"/>
      <c r="C96" s="100"/>
      <c r="D96" s="85"/>
      <c r="E96" s="100"/>
      <c r="F96" s="100"/>
      <c r="G96" s="86"/>
      <c r="H96" s="86"/>
      <c r="I96" s="78"/>
    </row>
    <row r="97" spans="1:9" s="7" customFormat="1" ht="13.5" thickTop="1">
      <c r="A97" s="101" t="s">
        <v>126</v>
      </c>
      <c r="B97" s="101" t="s">
        <v>127</v>
      </c>
      <c r="C97" s="102">
        <v>0</v>
      </c>
      <c r="D97" s="89"/>
      <c r="E97" s="102">
        <v>0</v>
      </c>
      <c r="F97" s="102">
        <v>0</v>
      </c>
      <c r="G97" s="90"/>
      <c r="H97" s="90"/>
      <c r="I97" s="78"/>
    </row>
    <row r="98" spans="1:9" s="7" customFormat="1">
      <c r="A98" s="103"/>
      <c r="B98" s="103" t="s">
        <v>128</v>
      </c>
      <c r="C98" s="104"/>
      <c r="D98" s="89"/>
      <c r="E98" s="104"/>
      <c r="F98" s="104"/>
      <c r="G98" s="90"/>
      <c r="H98" s="90"/>
      <c r="I98" s="78"/>
    </row>
    <row r="99" spans="1:9" s="7" customFormat="1">
      <c r="A99" s="103"/>
      <c r="B99" s="103" t="s">
        <v>129</v>
      </c>
      <c r="C99" s="104"/>
      <c r="D99" s="85"/>
      <c r="E99" s="104"/>
      <c r="F99" s="104"/>
      <c r="G99" s="86"/>
      <c r="H99" s="86"/>
      <c r="I99" s="78"/>
    </row>
    <row r="100" spans="1:9" s="7" customFormat="1">
      <c r="A100" s="105"/>
      <c r="B100" s="103" t="s">
        <v>130</v>
      </c>
      <c r="C100" s="106"/>
      <c r="D100" s="107"/>
      <c r="E100" s="106"/>
      <c r="F100" s="106"/>
      <c r="G100" s="108"/>
      <c r="H100" s="108"/>
      <c r="I100" s="78"/>
    </row>
    <row r="101" spans="1:9" s="7" customFormat="1" ht="13.5" thickBot="1">
      <c r="A101" s="109"/>
      <c r="B101" s="103"/>
      <c r="C101" s="110"/>
      <c r="D101" s="92"/>
      <c r="E101" s="110"/>
      <c r="F101" s="110"/>
      <c r="G101" s="93"/>
      <c r="H101" s="93"/>
      <c r="I101" s="78"/>
    </row>
    <row r="102" spans="1:9" s="7" customFormat="1" ht="13.5" thickTop="1">
      <c r="C102" s="9"/>
      <c r="D102" s="9"/>
      <c r="E102" s="9"/>
      <c r="F102" s="9"/>
      <c r="G102" s="9"/>
      <c r="H102" s="9"/>
      <c r="I102" s="9"/>
    </row>
    <row r="103" spans="1:9" s="7" customFormat="1">
      <c r="A103" s="111"/>
      <c r="B103" s="112"/>
      <c r="C103" s="178"/>
      <c r="D103" s="190"/>
      <c r="E103" s="112"/>
      <c r="F103" s="113"/>
      <c r="G103" s="113"/>
      <c r="H103" s="111"/>
      <c r="I103" s="112"/>
    </row>
    <row r="104" spans="1:9" s="7" customFormat="1">
      <c r="A104" s="114" t="s">
        <v>131</v>
      </c>
      <c r="B104" s="115" t="s">
        <v>131</v>
      </c>
      <c r="C104" s="179"/>
      <c r="D104" s="191"/>
      <c r="E104" s="115" t="s">
        <v>131</v>
      </c>
      <c r="F104" s="115"/>
      <c r="G104" s="115"/>
      <c r="H104" s="115"/>
      <c r="I104" s="115"/>
    </row>
    <row r="105" spans="1:9" s="7" customFormat="1">
      <c r="A105" s="116"/>
      <c r="B105" s="117"/>
      <c r="C105" s="180"/>
      <c r="D105" s="9"/>
      <c r="E105" s="118"/>
      <c r="F105" s="9"/>
      <c r="G105" s="9"/>
      <c r="H105" s="118"/>
      <c r="I105" s="9"/>
    </row>
    <row r="106" spans="1:9" s="7" customFormat="1">
      <c r="A106" s="111"/>
      <c r="B106" s="119"/>
      <c r="C106" s="181"/>
      <c r="D106" s="190"/>
      <c r="E106" s="120"/>
      <c r="F106" s="113"/>
      <c r="G106" s="113"/>
      <c r="H106" s="120"/>
      <c r="I106" s="112"/>
    </row>
    <row r="107" spans="1:9" s="7" customFormat="1">
      <c r="A107" s="119" t="s">
        <v>132</v>
      </c>
      <c r="B107" s="119" t="s">
        <v>133</v>
      </c>
      <c r="C107" s="181"/>
      <c r="D107" s="191"/>
      <c r="E107" s="121"/>
      <c r="F107" s="115"/>
      <c r="G107" s="115"/>
      <c r="H107" s="121"/>
      <c r="I107" s="115"/>
    </row>
    <row r="108" spans="1:9" s="7" customFormat="1">
      <c r="C108" s="182"/>
      <c r="D108" s="9"/>
      <c r="E108" s="122"/>
      <c r="F108" s="9"/>
      <c r="G108" s="9"/>
      <c r="H108" s="122"/>
      <c r="I108" s="9"/>
    </row>
    <row r="109" spans="1:9" s="7" customFormat="1" ht="21.75" customHeight="1">
      <c r="A109" s="123" t="s">
        <v>134</v>
      </c>
      <c r="B109" s="73"/>
      <c r="C109" s="183" t="s">
        <v>135</v>
      </c>
      <c r="D109" s="183"/>
      <c r="E109" s="124"/>
      <c r="F109" s="124"/>
      <c r="G109" s="124"/>
      <c r="H109" s="100"/>
      <c r="I109" s="100"/>
    </row>
    <row r="110" spans="1:9" s="7" customFormat="1" ht="21.75" customHeight="1" thickBot="1">
      <c r="A110" s="125" t="s">
        <v>136</v>
      </c>
      <c r="B110" s="73"/>
      <c r="C110" s="177"/>
      <c r="D110" s="177"/>
      <c r="E110" s="73"/>
      <c r="F110" s="73"/>
      <c r="G110" s="73"/>
      <c r="H110" s="100"/>
      <c r="I110" s="100"/>
    </row>
    <row r="111" spans="1:9" s="7" customFormat="1" ht="78" thickTop="1" thickBot="1">
      <c r="A111" s="126"/>
      <c r="B111" s="14" t="s">
        <v>137</v>
      </c>
      <c r="C111" s="50" t="s">
        <v>9</v>
      </c>
      <c r="D111" s="50" t="s">
        <v>10</v>
      </c>
      <c r="E111" s="14" t="s">
        <v>11</v>
      </c>
      <c r="F111" s="14" t="s">
        <v>12</v>
      </c>
      <c r="G111" s="15" t="s">
        <v>13</v>
      </c>
      <c r="H111" s="16" t="s">
        <v>14</v>
      </c>
      <c r="I111" s="17" t="s">
        <v>15</v>
      </c>
    </row>
    <row r="112" spans="1:9" s="7" customFormat="1" ht="13.5" thickTop="1">
      <c r="A112" s="127"/>
      <c r="B112" s="128" t="s">
        <v>138</v>
      </c>
      <c r="C112" s="129">
        <v>74319457.640000001</v>
      </c>
      <c r="D112" s="129">
        <v>82469248.409999996</v>
      </c>
      <c r="E112" s="129">
        <v>82228826.729999989</v>
      </c>
      <c r="F112" s="129">
        <v>59072503.730000004</v>
      </c>
      <c r="G112" s="129">
        <v>70810520.519999996</v>
      </c>
      <c r="H112" s="129">
        <v>0</v>
      </c>
      <c r="I112" s="130">
        <v>78586739.260000005</v>
      </c>
    </row>
    <row r="113" spans="1:9" s="7" customFormat="1">
      <c r="A113" s="131"/>
      <c r="B113" s="132" t="s">
        <v>139</v>
      </c>
      <c r="C113" s="133">
        <v>0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  <c r="I113" s="133">
        <v>0</v>
      </c>
    </row>
    <row r="114" spans="1:9" s="7" customFormat="1">
      <c r="A114" s="131"/>
      <c r="B114" s="132" t="s">
        <v>140</v>
      </c>
      <c r="C114" s="133">
        <v>599752.75</v>
      </c>
      <c r="D114" s="133">
        <v>483920</v>
      </c>
      <c r="E114" s="133">
        <v>499120</v>
      </c>
      <c r="F114" s="133">
        <v>222113.58</v>
      </c>
      <c r="G114" s="133">
        <v>499100</v>
      </c>
      <c r="H114" s="133">
        <v>0</v>
      </c>
      <c r="I114" s="133">
        <v>491300</v>
      </c>
    </row>
    <row r="115" spans="1:9" s="7" customFormat="1" ht="25.5">
      <c r="A115" s="131"/>
      <c r="B115" s="132" t="s">
        <v>141</v>
      </c>
      <c r="C115" s="133">
        <v>0</v>
      </c>
      <c r="D115" s="133">
        <v>0</v>
      </c>
      <c r="E115" s="133">
        <v>0</v>
      </c>
      <c r="F115" s="133">
        <v>0</v>
      </c>
      <c r="G115" s="133">
        <v>0</v>
      </c>
      <c r="H115" s="133">
        <v>0</v>
      </c>
      <c r="I115" s="133">
        <v>0</v>
      </c>
    </row>
    <row r="116" spans="1:9" s="7" customFormat="1">
      <c r="A116" s="131"/>
      <c r="B116" s="132" t="s">
        <v>142</v>
      </c>
      <c r="C116" s="133">
        <v>11210248.43</v>
      </c>
      <c r="D116" s="133">
        <v>28308288.119999997</v>
      </c>
      <c r="E116" s="133">
        <v>28032666.439999998</v>
      </c>
      <c r="F116" s="133">
        <v>7403627.4400000004</v>
      </c>
      <c r="G116" s="133">
        <v>18000000</v>
      </c>
      <c r="H116" s="133">
        <v>0</v>
      </c>
      <c r="I116" s="133">
        <v>21617948.350000001</v>
      </c>
    </row>
    <row r="117" spans="1:9" s="7" customFormat="1">
      <c r="A117" s="131"/>
      <c r="B117" s="132" t="s">
        <v>143</v>
      </c>
      <c r="C117" s="133">
        <v>62509456.460000001</v>
      </c>
      <c r="D117" s="133">
        <v>53677040.289999999</v>
      </c>
      <c r="E117" s="133">
        <v>53697040.289999999</v>
      </c>
      <c r="F117" s="133">
        <v>51446762.710000001</v>
      </c>
      <c r="G117" s="133">
        <v>52311420.519999996</v>
      </c>
      <c r="H117" s="133">
        <v>0</v>
      </c>
      <c r="I117" s="133">
        <v>56477490.910000004</v>
      </c>
    </row>
    <row r="118" spans="1:9" s="7" customFormat="1">
      <c r="A118" s="131"/>
      <c r="B118" s="132"/>
      <c r="C118" s="134"/>
      <c r="D118" s="134"/>
      <c r="E118" s="134"/>
      <c r="F118" s="134"/>
      <c r="G118" s="134"/>
      <c r="H118" s="134"/>
      <c r="I118" s="135"/>
    </row>
    <row r="119" spans="1:9" s="7" customFormat="1">
      <c r="A119" s="131"/>
      <c r="B119" s="136" t="s">
        <v>144</v>
      </c>
      <c r="C119" s="137">
        <v>51329958.149999999</v>
      </c>
      <c r="D119" s="137">
        <v>76252748.409999996</v>
      </c>
      <c r="E119" s="137">
        <v>82809363.25999999</v>
      </c>
      <c r="F119" s="137">
        <v>33120701.530000001</v>
      </c>
      <c r="G119" s="137">
        <v>59366000</v>
      </c>
      <c r="H119" s="137">
        <v>0</v>
      </c>
      <c r="I119" s="138">
        <v>66735180.350000001</v>
      </c>
    </row>
    <row r="120" spans="1:9" s="7" customFormat="1">
      <c r="A120" s="131"/>
      <c r="B120" s="132" t="s">
        <v>145</v>
      </c>
      <c r="C120" s="133">
        <v>283890.53999999998</v>
      </c>
      <c r="D120" s="133">
        <v>622430.56000000006</v>
      </c>
      <c r="E120" s="133">
        <v>767709.94000000006</v>
      </c>
      <c r="F120" s="133">
        <v>157550.79999999999</v>
      </c>
      <c r="G120" s="133">
        <v>398600</v>
      </c>
      <c r="H120" s="133">
        <v>0</v>
      </c>
      <c r="I120" s="133">
        <v>410500</v>
      </c>
    </row>
    <row r="121" spans="1:9" s="7" customFormat="1">
      <c r="A121" s="131"/>
      <c r="B121" s="132" t="s">
        <v>140</v>
      </c>
      <c r="C121" s="133">
        <v>460.34</v>
      </c>
      <c r="D121" s="133">
        <v>10300</v>
      </c>
      <c r="E121" s="133">
        <v>10400</v>
      </c>
      <c r="F121" s="133">
        <v>29.62</v>
      </c>
      <c r="G121" s="133">
        <v>6100</v>
      </c>
      <c r="H121" s="133">
        <v>0</v>
      </c>
      <c r="I121" s="133">
        <v>1700</v>
      </c>
    </row>
    <row r="122" spans="1:9" s="7" customFormat="1">
      <c r="A122" s="131"/>
      <c r="B122" s="132" t="s">
        <v>146</v>
      </c>
      <c r="C122" s="133">
        <v>65659.839999999997</v>
      </c>
      <c r="D122" s="133">
        <v>1063000</v>
      </c>
      <c r="E122" s="133">
        <v>4048993.93</v>
      </c>
      <c r="F122" s="133">
        <v>34560.61</v>
      </c>
      <c r="G122" s="133">
        <v>75000</v>
      </c>
      <c r="H122" s="133">
        <v>0</v>
      </c>
      <c r="I122" s="133">
        <v>1140400</v>
      </c>
    </row>
    <row r="123" spans="1:9" s="7" customFormat="1" ht="13.5" thickBot="1">
      <c r="A123" s="139"/>
      <c r="B123" s="140" t="s">
        <v>147</v>
      </c>
      <c r="C123" s="141">
        <v>50979947.43</v>
      </c>
      <c r="D123" s="141">
        <v>74557017.849999994</v>
      </c>
      <c r="E123" s="141">
        <v>77982259.389999986</v>
      </c>
      <c r="F123" s="141">
        <v>32928560.5</v>
      </c>
      <c r="G123" s="141">
        <v>58886300</v>
      </c>
      <c r="H123" s="141">
        <v>0</v>
      </c>
      <c r="I123" s="141">
        <v>65182580.350000001</v>
      </c>
    </row>
    <row r="124" spans="1:9" s="7" customFormat="1" ht="52.5" thickTop="1" thickBot="1">
      <c r="A124" s="142"/>
      <c r="B124" s="143" t="s">
        <v>148</v>
      </c>
      <c r="C124" s="144">
        <v>22989499.490000002</v>
      </c>
      <c r="D124" s="144">
        <v>6216500</v>
      </c>
      <c r="E124" s="144">
        <v>-580536.53000000119</v>
      </c>
      <c r="F124" s="144">
        <v>25951802.200000003</v>
      </c>
      <c r="G124" s="144">
        <v>11444520.519999996</v>
      </c>
      <c r="H124" s="144">
        <v>0</v>
      </c>
      <c r="I124" s="145">
        <v>11851558.910000004</v>
      </c>
    </row>
    <row r="125" spans="1:9" s="7" customFormat="1" ht="13.5" thickTop="1">
      <c r="A125" s="127"/>
      <c r="B125" s="146" t="s">
        <v>149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9">
        <v>0</v>
      </c>
      <c r="I125" s="130">
        <v>0</v>
      </c>
    </row>
    <row r="126" spans="1:9" s="7" customFormat="1">
      <c r="A126" s="147"/>
      <c r="B126" s="148" t="s">
        <v>150</v>
      </c>
      <c r="C126" s="149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50">
        <v>0</v>
      </c>
    </row>
    <row r="127" spans="1:9" s="7" customFormat="1" ht="26.25" thickBot="1">
      <c r="A127" s="151"/>
      <c r="B127" s="152" t="s">
        <v>151</v>
      </c>
      <c r="C127" s="153">
        <v>0</v>
      </c>
      <c r="D127" s="153">
        <v>0</v>
      </c>
      <c r="E127" s="153">
        <v>0</v>
      </c>
      <c r="F127" s="153">
        <v>0</v>
      </c>
      <c r="G127" s="153">
        <v>0</v>
      </c>
      <c r="H127" s="153">
        <v>0</v>
      </c>
      <c r="I127" s="154">
        <v>0</v>
      </c>
    </row>
    <row r="128" spans="1:9" s="7" customFormat="1" ht="48" customHeight="1" thickTop="1" thickBot="1">
      <c r="A128" s="155"/>
      <c r="B128" s="156" t="s">
        <v>152</v>
      </c>
      <c r="C128" s="157">
        <v>22989499.490000002</v>
      </c>
      <c r="D128" s="157">
        <v>6216500</v>
      </c>
      <c r="E128" s="157">
        <v>-580536.53000000119</v>
      </c>
      <c r="F128" s="157">
        <v>25951802.200000003</v>
      </c>
      <c r="G128" s="157">
        <v>11444520.519999996</v>
      </c>
      <c r="H128" s="157">
        <v>0</v>
      </c>
      <c r="I128" s="157">
        <v>11851558.910000004</v>
      </c>
    </row>
    <row r="129" spans="1:9" s="7" customFormat="1" ht="16.5" thickTop="1">
      <c r="A129" s="47" t="s">
        <v>78</v>
      </c>
      <c r="B129" s="158"/>
      <c r="C129" s="167"/>
      <c r="D129" s="167"/>
      <c r="E129" s="159"/>
      <c r="F129" s="159"/>
      <c r="G129" s="159"/>
      <c r="H129" s="160"/>
      <c r="I129" s="161"/>
    </row>
    <row r="130" spans="1:9" s="7" customFormat="1" ht="15.75">
      <c r="A130" s="47" t="s">
        <v>79</v>
      </c>
      <c r="B130" s="158"/>
      <c r="C130" s="167"/>
      <c r="D130" s="167"/>
      <c r="E130" s="159"/>
      <c r="F130" s="159"/>
      <c r="G130" s="159"/>
      <c r="H130" s="160"/>
      <c r="I130" s="161"/>
    </row>
    <row r="131" spans="1:9" s="7" customFormat="1" ht="33" customHeight="1">
      <c r="A131" s="123" t="s">
        <v>153</v>
      </c>
      <c r="B131" s="73"/>
      <c r="C131" s="183" t="s">
        <v>135</v>
      </c>
      <c r="D131" s="183"/>
      <c r="E131" s="124"/>
      <c r="F131" s="124"/>
      <c r="G131" s="124"/>
      <c r="H131" s="100"/>
      <c r="I131" s="100"/>
    </row>
    <row r="132" spans="1:9" s="7" customFormat="1" ht="13.5" thickBot="1">
      <c r="A132" s="125" t="s">
        <v>136</v>
      </c>
      <c r="B132" s="73"/>
      <c r="C132" s="177"/>
      <c r="D132" s="177"/>
      <c r="E132" s="73"/>
      <c r="F132" s="73"/>
      <c r="G132" s="73"/>
      <c r="H132" s="100"/>
      <c r="I132" s="100"/>
    </row>
    <row r="133" spans="1:9" s="7" customFormat="1" ht="78" thickTop="1" thickBot="1">
      <c r="A133" s="126"/>
      <c r="B133" s="14" t="s">
        <v>137</v>
      </c>
      <c r="C133" s="50" t="s">
        <v>9</v>
      </c>
      <c r="D133" s="50" t="s">
        <v>10</v>
      </c>
      <c r="E133" s="14" t="s">
        <v>11</v>
      </c>
      <c r="F133" s="14" t="s">
        <v>12</v>
      </c>
      <c r="G133" s="15" t="s">
        <v>154</v>
      </c>
      <c r="H133" s="16" t="s">
        <v>155</v>
      </c>
      <c r="I133" s="17" t="s">
        <v>15</v>
      </c>
    </row>
    <row r="134" spans="1:9" s="7" customFormat="1" ht="13.5" thickTop="1">
      <c r="A134" s="128"/>
      <c r="B134" s="128" t="s">
        <v>138</v>
      </c>
      <c r="C134" s="129">
        <v>74319457.640000001</v>
      </c>
      <c r="D134" s="129">
        <v>82469248.409999996</v>
      </c>
      <c r="E134" s="129">
        <v>82228826.729999989</v>
      </c>
      <c r="F134" s="129">
        <v>59072503.730000004</v>
      </c>
      <c r="G134" s="129">
        <v>70810520.519999996</v>
      </c>
      <c r="H134" s="129">
        <v>0</v>
      </c>
      <c r="I134" s="130">
        <v>78586739.260000005</v>
      </c>
    </row>
    <row r="135" spans="1:9" s="7" customFormat="1">
      <c r="A135" s="132"/>
      <c r="B135" s="132" t="s">
        <v>156</v>
      </c>
      <c r="C135" s="133"/>
      <c r="D135" s="133"/>
      <c r="E135" s="133"/>
      <c r="F135" s="133"/>
      <c r="G135" s="133"/>
      <c r="H135" s="133"/>
      <c r="I135" s="162"/>
    </row>
    <row r="136" spans="1:9" s="7" customFormat="1">
      <c r="A136" s="132"/>
      <c r="B136" s="132" t="s">
        <v>140</v>
      </c>
      <c r="C136" s="133">
        <v>599752.75</v>
      </c>
      <c r="D136" s="133">
        <v>483920</v>
      </c>
      <c r="E136" s="133">
        <v>499120</v>
      </c>
      <c r="F136" s="133">
        <v>222113.58</v>
      </c>
      <c r="G136" s="133">
        <v>499100</v>
      </c>
      <c r="H136" s="133">
        <v>0</v>
      </c>
      <c r="I136" s="162">
        <v>491300</v>
      </c>
    </row>
    <row r="137" spans="1:9" s="7" customFormat="1">
      <c r="A137" s="132"/>
      <c r="B137" s="132" t="s">
        <v>157</v>
      </c>
      <c r="C137" s="133">
        <v>0</v>
      </c>
      <c r="D137" s="133">
        <v>0</v>
      </c>
      <c r="E137" s="133">
        <v>0</v>
      </c>
      <c r="F137" s="133">
        <v>0</v>
      </c>
      <c r="G137" s="133">
        <v>0</v>
      </c>
      <c r="H137" s="133">
        <v>0</v>
      </c>
      <c r="I137" s="162">
        <v>0</v>
      </c>
    </row>
    <row r="138" spans="1:9" s="7" customFormat="1">
      <c r="A138" s="132"/>
      <c r="B138" s="132" t="s">
        <v>142</v>
      </c>
      <c r="C138" s="133">
        <v>11210248.43</v>
      </c>
      <c r="D138" s="133">
        <v>28308288.119999997</v>
      </c>
      <c r="E138" s="133">
        <v>28032666.439999998</v>
      </c>
      <c r="F138" s="133">
        <v>7403627.4400000004</v>
      </c>
      <c r="G138" s="133">
        <v>18000000</v>
      </c>
      <c r="H138" s="133">
        <v>0</v>
      </c>
      <c r="I138" s="162">
        <v>21617948.350000001</v>
      </c>
    </row>
    <row r="139" spans="1:9" s="7" customFormat="1">
      <c r="A139" s="132"/>
      <c r="B139" s="132" t="s">
        <v>143</v>
      </c>
      <c r="C139" s="133">
        <v>62509456.460000001</v>
      </c>
      <c r="D139" s="133">
        <v>53677040.289999999</v>
      </c>
      <c r="E139" s="133">
        <v>53697040.289999999</v>
      </c>
      <c r="F139" s="133">
        <v>51446762.710000001</v>
      </c>
      <c r="G139" s="133">
        <v>52311420.519999996</v>
      </c>
      <c r="H139" s="133">
        <v>0</v>
      </c>
      <c r="I139" s="162">
        <v>56477490.910000004</v>
      </c>
    </row>
    <row r="140" spans="1:9" s="7" customFormat="1">
      <c r="A140" s="132"/>
      <c r="B140" s="132"/>
      <c r="C140" s="133"/>
      <c r="D140" s="133"/>
      <c r="E140" s="133"/>
      <c r="F140" s="133"/>
      <c r="G140" s="133"/>
      <c r="H140" s="133"/>
      <c r="I140" s="162"/>
    </row>
    <row r="141" spans="1:9" s="7" customFormat="1">
      <c r="A141" s="136"/>
      <c r="B141" s="136" t="s">
        <v>144</v>
      </c>
      <c r="C141" s="137">
        <v>51329958.150000006</v>
      </c>
      <c r="D141" s="137">
        <v>76252748.409999996</v>
      </c>
      <c r="E141" s="137">
        <v>82809363.25999999</v>
      </c>
      <c r="F141" s="137">
        <v>33120701.530000001</v>
      </c>
      <c r="G141" s="137">
        <v>59366000</v>
      </c>
      <c r="H141" s="137">
        <v>0</v>
      </c>
      <c r="I141" s="138">
        <v>66735180.350000001</v>
      </c>
    </row>
    <row r="142" spans="1:9" s="7" customFormat="1">
      <c r="A142" s="132"/>
      <c r="B142" s="132" t="s">
        <v>145</v>
      </c>
      <c r="C142" s="133">
        <v>283890.53999999998</v>
      </c>
      <c r="D142" s="133">
        <v>622430.56000000006</v>
      </c>
      <c r="E142" s="133">
        <v>767709.94000000006</v>
      </c>
      <c r="F142" s="133">
        <v>157550.79999999999</v>
      </c>
      <c r="G142" s="133">
        <v>398600</v>
      </c>
      <c r="H142" s="133">
        <v>0</v>
      </c>
      <c r="I142" s="162">
        <v>410500</v>
      </c>
    </row>
    <row r="143" spans="1:9" s="7" customFormat="1">
      <c r="A143" s="132"/>
      <c r="B143" s="132" t="s">
        <v>158</v>
      </c>
      <c r="C143" s="133"/>
      <c r="D143" s="133"/>
      <c r="E143" s="133"/>
      <c r="F143" s="133"/>
      <c r="G143" s="133"/>
      <c r="H143" s="133"/>
      <c r="I143" s="162"/>
    </row>
    <row r="144" spans="1:9" s="7" customFormat="1">
      <c r="A144" s="132"/>
      <c r="B144" s="132" t="s">
        <v>159</v>
      </c>
      <c r="C144" s="133">
        <v>48785361.939999998</v>
      </c>
      <c r="D144" s="133">
        <v>72053399.50999999</v>
      </c>
      <c r="E144" s="133">
        <v>75144245.559999987</v>
      </c>
      <c r="F144" s="133">
        <v>32036352.890000001</v>
      </c>
      <c r="G144" s="133">
        <v>57000000</v>
      </c>
      <c r="H144" s="133">
        <v>0</v>
      </c>
      <c r="I144" s="162">
        <v>62505338.910000004</v>
      </c>
    </row>
    <row r="145" spans="1:9" s="7" customFormat="1">
      <c r="A145" s="132"/>
      <c r="B145" s="132" t="s">
        <v>140</v>
      </c>
      <c r="C145" s="133">
        <v>460.34</v>
      </c>
      <c r="D145" s="133">
        <v>10300</v>
      </c>
      <c r="E145" s="133">
        <v>10400</v>
      </c>
      <c r="F145" s="133">
        <v>29.62</v>
      </c>
      <c r="G145" s="133">
        <v>6100</v>
      </c>
      <c r="H145" s="133">
        <v>0</v>
      </c>
      <c r="I145" s="162">
        <v>1700</v>
      </c>
    </row>
    <row r="146" spans="1:9" s="7" customFormat="1">
      <c r="A146" s="132"/>
      <c r="B146" s="132" t="s">
        <v>146</v>
      </c>
      <c r="C146" s="133">
        <v>65659.839999999997</v>
      </c>
      <c r="D146" s="133">
        <v>1063000</v>
      </c>
      <c r="E146" s="133">
        <v>4048993.93</v>
      </c>
      <c r="F146" s="133">
        <v>34560.61</v>
      </c>
      <c r="G146" s="133">
        <v>75000</v>
      </c>
      <c r="H146" s="133">
        <v>0</v>
      </c>
      <c r="I146" s="162">
        <v>1140400</v>
      </c>
    </row>
    <row r="147" spans="1:9" s="7" customFormat="1" ht="13.5" thickBot="1">
      <c r="A147" s="140"/>
      <c r="B147" s="140" t="s">
        <v>147</v>
      </c>
      <c r="C147" s="141">
        <v>2194585.4900000021</v>
      </c>
      <c r="D147" s="141">
        <v>2503618.3400000036</v>
      </c>
      <c r="E147" s="141">
        <v>2838013.8299999982</v>
      </c>
      <c r="F147" s="141">
        <v>892207.6099999994</v>
      </c>
      <c r="G147" s="141">
        <v>1886300</v>
      </c>
      <c r="H147" s="141">
        <v>0</v>
      </c>
      <c r="I147" s="163">
        <v>2677241.4399999976</v>
      </c>
    </row>
    <row r="148" spans="1:9" s="7" customFormat="1" ht="27" thickTop="1" thickBot="1">
      <c r="A148" s="143"/>
      <c r="B148" s="143" t="s">
        <v>160</v>
      </c>
      <c r="C148" s="144">
        <v>22989499.489999995</v>
      </c>
      <c r="D148" s="144">
        <v>6216500</v>
      </c>
      <c r="E148" s="144">
        <v>-580536.53000000119</v>
      </c>
      <c r="F148" s="144">
        <v>25951802.200000003</v>
      </c>
      <c r="G148" s="144">
        <v>11444520.519999996</v>
      </c>
      <c r="H148" s="144">
        <v>0</v>
      </c>
      <c r="I148" s="145">
        <v>11851558.910000004</v>
      </c>
    </row>
    <row r="149" spans="1:9" s="7" customFormat="1" ht="14.25" thickTop="1" thickBot="1">
      <c r="A149" s="152"/>
      <c r="B149" s="164"/>
      <c r="C149" s="165"/>
      <c r="D149" s="165"/>
      <c r="E149" s="165"/>
      <c r="F149" s="165"/>
      <c r="G149" s="165"/>
      <c r="H149" s="165"/>
      <c r="I149" s="166"/>
    </row>
    <row r="150" spans="1:9" ht="16.5" thickTop="1">
      <c r="A150" s="47" t="s">
        <v>161</v>
      </c>
      <c r="B150" s="158"/>
      <c r="C150" s="167"/>
      <c r="D150" s="167"/>
      <c r="E150" s="167"/>
      <c r="F150" s="167"/>
      <c r="G150" s="167"/>
      <c r="H150" s="167"/>
      <c r="I150" s="167"/>
    </row>
    <row r="152" spans="1:9" ht="19.5">
      <c r="A152" s="229" t="s">
        <v>162</v>
      </c>
      <c r="B152" s="230"/>
      <c r="C152" s="230"/>
      <c r="D152" s="230"/>
      <c r="E152" s="230"/>
      <c r="F152" s="230"/>
      <c r="G152" s="230"/>
      <c r="H152" s="230"/>
      <c r="I152" s="231"/>
    </row>
    <row r="153" spans="1:9" ht="18.75">
      <c r="B153" s="4"/>
    </row>
    <row r="154" spans="1:9" ht="15">
      <c r="B154" s="1" t="s">
        <v>163</v>
      </c>
      <c r="E154" s="168" t="s">
        <v>164</v>
      </c>
    </row>
    <row r="157" spans="1:9" ht="18.75">
      <c r="B157" s="4"/>
    </row>
  </sheetData>
  <mergeCells count="2">
    <mergeCell ref="A2:I2"/>
    <mergeCell ref="A152:I152"/>
  </mergeCells>
  <hyperlinks>
    <hyperlink ref="B6" r:id="rId1" display="olkoula@iky.g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56"/>
  <sheetViews>
    <sheetView tabSelected="1" topLeftCell="A18" workbookViewId="0">
      <selection activeCell="AD42" sqref="AD42"/>
    </sheetView>
  </sheetViews>
  <sheetFormatPr defaultRowHeight="15"/>
  <cols>
    <col min="1" max="1" width="18.28515625" style="202" customWidth="1"/>
    <col min="2" max="2" width="13.7109375" style="202" customWidth="1"/>
    <col min="3" max="5" width="13.42578125" style="202" hidden="1" customWidth="1"/>
    <col min="6" max="7" width="12.5703125" style="202" hidden="1" customWidth="1"/>
    <col min="8" max="8" width="12.7109375" style="202" hidden="1" customWidth="1"/>
    <col min="9" max="10" width="12.28515625" style="202" hidden="1" customWidth="1"/>
    <col min="11" max="11" width="12.42578125" style="217" hidden="1" customWidth="1"/>
    <col min="12" max="12" width="12.28515625" style="217" hidden="1" customWidth="1"/>
    <col min="13" max="14" width="12.28515625" style="217" customWidth="1"/>
    <col min="15" max="16" width="15.140625" style="218" hidden="1" customWidth="1"/>
    <col min="17" max="17" width="12.28515625" style="217" bestFit="1" customWidth="1"/>
    <col min="18" max="18" width="16.85546875" style="217" bestFit="1" customWidth="1"/>
    <col min="19" max="19" width="12.7109375" style="202" bestFit="1" customWidth="1"/>
    <col min="20" max="20" width="12.28515625" style="202" bestFit="1" customWidth="1"/>
    <col min="21" max="24" width="12.28515625" style="202" hidden="1" customWidth="1"/>
    <col min="25" max="25" width="15.140625" style="202" hidden="1" customWidth="1"/>
    <col min="26" max="26" width="15.5703125" style="202" hidden="1" customWidth="1"/>
    <col min="27" max="28" width="12.42578125" style="202" hidden="1" customWidth="1"/>
    <col min="29" max="30" width="12.42578125" style="202" customWidth="1"/>
    <col min="31" max="32" width="12.42578125" style="202" hidden="1" customWidth="1"/>
    <col min="33" max="38" width="12.42578125" style="202" customWidth="1"/>
    <col min="39" max="40" width="13.42578125" style="202" bestFit="1" customWidth="1"/>
    <col min="41" max="41" width="12.7109375" style="202" hidden="1" customWidth="1"/>
    <col min="42" max="42" width="13.5703125" style="202" hidden="1" customWidth="1"/>
    <col min="43" max="45" width="0" style="202" hidden="1" customWidth="1"/>
    <col min="46" max="16384" width="9.140625" style="202"/>
  </cols>
  <sheetData>
    <row r="1" spans="1:42" s="196" customFormat="1" ht="49.5" customHeight="1">
      <c r="A1" s="192" t="s">
        <v>165</v>
      </c>
      <c r="B1" s="192" t="s">
        <v>166</v>
      </c>
      <c r="C1" s="193" t="s">
        <v>167</v>
      </c>
      <c r="D1" s="193" t="s">
        <v>168</v>
      </c>
      <c r="E1" s="193" t="s">
        <v>169</v>
      </c>
      <c r="F1" s="193" t="s">
        <v>169</v>
      </c>
      <c r="G1" s="193" t="s">
        <v>170</v>
      </c>
      <c r="H1" s="193" t="s">
        <v>171</v>
      </c>
      <c r="I1" s="193" t="s">
        <v>170</v>
      </c>
      <c r="J1" s="193" t="s">
        <v>171</v>
      </c>
      <c r="K1" s="194" t="s">
        <v>172</v>
      </c>
      <c r="L1" s="194" t="s">
        <v>173</v>
      </c>
      <c r="M1" s="194" t="s">
        <v>172</v>
      </c>
      <c r="N1" s="194" t="s">
        <v>173</v>
      </c>
      <c r="O1" s="195" t="s">
        <v>174</v>
      </c>
      <c r="P1" s="195" t="s">
        <v>175</v>
      </c>
      <c r="Q1" s="194" t="s">
        <v>176</v>
      </c>
      <c r="R1" s="194" t="s">
        <v>177</v>
      </c>
      <c r="S1" s="193" t="s">
        <v>178</v>
      </c>
      <c r="T1" s="193" t="s">
        <v>179</v>
      </c>
      <c r="U1" s="193" t="s">
        <v>180</v>
      </c>
      <c r="V1" s="193" t="s">
        <v>181</v>
      </c>
      <c r="W1" s="193" t="s">
        <v>182</v>
      </c>
      <c r="X1" s="193" t="s">
        <v>183</v>
      </c>
      <c r="Y1" s="193" t="s">
        <v>184</v>
      </c>
      <c r="Z1" s="193" t="s">
        <v>185</v>
      </c>
      <c r="AA1" s="193" t="s">
        <v>186</v>
      </c>
      <c r="AB1" s="193" t="s">
        <v>187</v>
      </c>
      <c r="AC1" s="193" t="s">
        <v>180</v>
      </c>
      <c r="AD1" s="193" t="s">
        <v>181</v>
      </c>
      <c r="AE1" s="193" t="s">
        <v>182</v>
      </c>
      <c r="AF1" s="193" t="s">
        <v>183</v>
      </c>
      <c r="AG1" s="193" t="s">
        <v>182</v>
      </c>
      <c r="AH1" s="193" t="s">
        <v>183</v>
      </c>
      <c r="AI1" s="193" t="s">
        <v>184</v>
      </c>
      <c r="AJ1" s="193" t="s">
        <v>185</v>
      </c>
      <c r="AK1" s="193" t="s">
        <v>186</v>
      </c>
      <c r="AL1" s="193" t="s">
        <v>187</v>
      </c>
      <c r="AM1" s="193" t="s">
        <v>188</v>
      </c>
      <c r="AN1" s="193" t="s">
        <v>189</v>
      </c>
    </row>
    <row r="2" spans="1:42" ht="26.25">
      <c r="A2" s="197" t="s">
        <v>190</v>
      </c>
      <c r="B2" s="198">
        <v>375000</v>
      </c>
      <c r="C2" s="198">
        <v>0</v>
      </c>
      <c r="D2" s="198">
        <v>0</v>
      </c>
      <c r="E2" s="198">
        <f>F2+G2</f>
        <v>0</v>
      </c>
      <c r="F2" s="198">
        <v>155000</v>
      </c>
      <c r="G2" s="198">
        <v>-155000</v>
      </c>
      <c r="H2" s="198">
        <v>155000</v>
      </c>
      <c r="I2" s="198">
        <v>-155000</v>
      </c>
      <c r="J2" s="198">
        <f>H2+I2</f>
        <v>0</v>
      </c>
      <c r="K2" s="199">
        <v>155000</v>
      </c>
      <c r="L2" s="199">
        <v>155000</v>
      </c>
      <c r="M2" s="199">
        <v>25000</v>
      </c>
      <c r="N2" s="199">
        <v>22052.52</v>
      </c>
      <c r="O2" s="200">
        <v>25000</v>
      </c>
      <c r="P2" s="200">
        <v>22052.52</v>
      </c>
      <c r="Q2" s="199">
        <v>130200</v>
      </c>
      <c r="R2" s="199">
        <v>133271.70000000001</v>
      </c>
      <c r="S2" s="198">
        <v>150000</v>
      </c>
      <c r="T2" s="198">
        <v>150000</v>
      </c>
      <c r="U2" s="198"/>
      <c r="V2" s="198"/>
      <c r="W2" s="198"/>
      <c r="X2" s="198"/>
      <c r="Y2" s="198"/>
      <c r="Z2" s="198"/>
      <c r="AA2" s="198"/>
      <c r="AB2" s="198"/>
      <c r="AC2" s="198">
        <v>69800</v>
      </c>
      <c r="AD2" s="198">
        <v>69675.78</v>
      </c>
      <c r="AE2" s="198"/>
      <c r="AF2" s="198"/>
      <c r="AG2" s="198"/>
      <c r="AH2" s="198"/>
      <c r="AI2" s="198"/>
      <c r="AJ2" s="198"/>
      <c r="AK2" s="198"/>
      <c r="AL2" s="198"/>
      <c r="AM2" s="198">
        <f>C2+E2+M2+Q2+S2+AC2+AE2+AG2+AI2+AK2</f>
        <v>375000</v>
      </c>
      <c r="AN2" s="198">
        <f>D2+J2+N2+R2+T2+AD2+AF2+AH2+AJ2+AL2</f>
        <v>375000</v>
      </c>
      <c r="AO2" s="201">
        <f>B2-AM2</f>
        <v>0</v>
      </c>
      <c r="AP2" s="201">
        <f>B2-AN2</f>
        <v>0</v>
      </c>
    </row>
    <row r="3" spans="1:42" ht="51.75">
      <c r="A3" s="197" t="s">
        <v>191</v>
      </c>
      <c r="B3" s="198">
        <v>1444700</v>
      </c>
      <c r="C3" s="198"/>
      <c r="D3" s="198"/>
      <c r="E3" s="198">
        <f t="shared" ref="E3:E20" si="0">F3+G3</f>
        <v>0</v>
      </c>
      <c r="F3" s="198">
        <f>4193.89+2432.45+1300000+5004186.8+88583.28+9611.61-1300000</f>
        <v>5109008.03</v>
      </c>
      <c r="G3" s="198">
        <v>-5109008.03</v>
      </c>
      <c r="H3" s="198">
        <f>260740+76000+2700000</f>
        <v>3036740</v>
      </c>
      <c r="I3" s="198">
        <v>-3036740</v>
      </c>
      <c r="J3" s="198">
        <f t="shared" ref="J3:J13" si="1">H3+I3</f>
        <v>0</v>
      </c>
      <c r="K3" s="199">
        <v>0</v>
      </c>
      <c r="L3" s="199">
        <v>0</v>
      </c>
      <c r="M3" s="199"/>
      <c r="N3" s="199"/>
      <c r="O3" s="200"/>
      <c r="P3" s="200"/>
      <c r="Q3" s="199">
        <v>1380374.22</v>
      </c>
      <c r="R3" s="199">
        <v>1380374.22</v>
      </c>
      <c r="S3" s="198">
        <v>1444700</v>
      </c>
      <c r="T3" s="198">
        <v>1444700</v>
      </c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>
        <f>S3</f>
        <v>1444700</v>
      </c>
      <c r="AN3" s="198">
        <f>T3</f>
        <v>1444700</v>
      </c>
      <c r="AO3" s="201">
        <f>B3-AM3</f>
        <v>0</v>
      </c>
      <c r="AP3" s="201">
        <f>B3-AN3</f>
        <v>0</v>
      </c>
    </row>
    <row r="4" spans="1:42" ht="51.75" customHeight="1">
      <c r="A4" s="197" t="s">
        <v>192</v>
      </c>
      <c r="B4" s="198">
        <f>S4</f>
        <v>25773.599999999999</v>
      </c>
      <c r="C4" s="198"/>
      <c r="D4" s="198"/>
      <c r="E4" s="198">
        <f t="shared" si="0"/>
        <v>0</v>
      </c>
      <c r="F4" s="198">
        <f>17583.92+155951.05</f>
        <v>173534.96999999997</v>
      </c>
      <c r="G4" s="198">
        <v>-173534.97</v>
      </c>
      <c r="H4" s="198">
        <f>50737.92+12000</f>
        <v>62737.919999999998</v>
      </c>
      <c r="I4" s="198">
        <v>-62737.919999999998</v>
      </c>
      <c r="J4" s="198">
        <f t="shared" si="1"/>
        <v>0</v>
      </c>
      <c r="K4" s="199">
        <v>0</v>
      </c>
      <c r="L4" s="199">
        <v>0</v>
      </c>
      <c r="M4" s="199"/>
      <c r="N4" s="199"/>
      <c r="O4" s="200"/>
      <c r="P4" s="200"/>
      <c r="Q4" s="199">
        <v>25744.560000000001</v>
      </c>
      <c r="R4" s="199">
        <v>25744.560000000001</v>
      </c>
      <c r="S4" s="198">
        <f>Φύλλο3!AI3</f>
        <v>25773.599999999999</v>
      </c>
      <c r="T4" s="198">
        <f>Φύλλο3!AJ3</f>
        <v>25773.599999999999</v>
      </c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>
        <f t="shared" ref="AM3:AM36" si="2">C4+E4+M4+Q4+S4+AC4+AE4+AG4+AI4+AK4</f>
        <v>51518.16</v>
      </c>
      <c r="AN4" s="198">
        <f t="shared" ref="AN3:AN36" si="3">D4+J4+N4+R4+T4+AD4+AF4+AH4+AJ4+AL4</f>
        <v>51518.16</v>
      </c>
      <c r="AO4" s="201">
        <f>AM4-AN4</f>
        <v>0</v>
      </c>
      <c r="AP4" s="201">
        <f>AM4-AN4</f>
        <v>0</v>
      </c>
    </row>
    <row r="5" spans="1:42" ht="77.25">
      <c r="A5" s="197" t="s">
        <v>193</v>
      </c>
      <c r="B5" s="198">
        <f t="shared" ref="B5:B9" si="4">S5</f>
        <v>16918.400000000001</v>
      </c>
      <c r="C5" s="198"/>
      <c r="D5" s="198"/>
      <c r="E5" s="198">
        <f t="shared" si="0"/>
        <v>0</v>
      </c>
      <c r="F5" s="198">
        <f>28072+158222.69</f>
        <v>186294.69</v>
      </c>
      <c r="G5" s="198">
        <v>-186294.69</v>
      </c>
      <c r="H5" s="198">
        <f>45990.36+62250</f>
        <v>108240.36</v>
      </c>
      <c r="I5" s="198">
        <v>-108240.36</v>
      </c>
      <c r="J5" s="198">
        <f t="shared" si="1"/>
        <v>0</v>
      </c>
      <c r="K5" s="199">
        <v>0</v>
      </c>
      <c r="L5" s="199">
        <v>0</v>
      </c>
      <c r="M5" s="199"/>
      <c r="N5" s="199"/>
      <c r="O5" s="200"/>
      <c r="P5" s="200"/>
      <c r="Q5" s="199">
        <v>30839.119999999999</v>
      </c>
      <c r="R5" s="199">
        <v>30839.119999999999</v>
      </c>
      <c r="S5" s="198">
        <f>Φύλλο3!AI4</f>
        <v>16918.400000000001</v>
      </c>
      <c r="T5" s="198">
        <f>Φύλλο3!AJ4</f>
        <v>16918.400000000001</v>
      </c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>
        <f t="shared" si="2"/>
        <v>47757.520000000004</v>
      </c>
      <c r="AN5" s="198">
        <f t="shared" si="3"/>
        <v>47757.520000000004</v>
      </c>
      <c r="AO5" s="201">
        <f t="shared" ref="AO5:AO9" si="5">AM5-AN5</f>
        <v>0</v>
      </c>
      <c r="AP5" s="201">
        <f t="shared" ref="AP5:AP9" si="6">AM5-AN5</f>
        <v>0</v>
      </c>
    </row>
    <row r="6" spans="1:42" ht="77.25">
      <c r="A6" s="197" t="s">
        <v>194</v>
      </c>
      <c r="B6" s="198">
        <f t="shared" si="4"/>
        <v>70160</v>
      </c>
      <c r="C6" s="198"/>
      <c r="D6" s="198"/>
      <c r="E6" s="198">
        <f t="shared" si="0"/>
        <v>0</v>
      </c>
      <c r="F6" s="198">
        <f>50228+651308.56</f>
        <v>701536.56</v>
      </c>
      <c r="G6" s="198">
        <v>-701536.56</v>
      </c>
      <c r="H6" s="198">
        <f>40843.39+145000</f>
        <v>185843.39</v>
      </c>
      <c r="I6" s="198">
        <v>-185843.39</v>
      </c>
      <c r="J6" s="198">
        <f t="shared" si="1"/>
        <v>0</v>
      </c>
      <c r="K6" s="199">
        <v>0</v>
      </c>
      <c r="L6" s="199">
        <v>0</v>
      </c>
      <c r="M6" s="199"/>
      <c r="N6" s="199"/>
      <c r="O6" s="200"/>
      <c r="P6" s="200"/>
      <c r="Q6" s="199">
        <v>66588</v>
      </c>
      <c r="R6" s="199">
        <v>66588</v>
      </c>
      <c r="S6" s="198">
        <f>Φύλλο3!AI5</f>
        <v>70160</v>
      </c>
      <c r="T6" s="198">
        <f>Φύλλο3!AJ5</f>
        <v>70160</v>
      </c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>
        <f t="shared" si="2"/>
        <v>136748</v>
      </c>
      <c r="AN6" s="198">
        <f t="shared" si="3"/>
        <v>136748</v>
      </c>
      <c r="AO6" s="201">
        <f t="shared" si="5"/>
        <v>0</v>
      </c>
      <c r="AP6" s="201">
        <f t="shared" si="6"/>
        <v>0</v>
      </c>
    </row>
    <row r="7" spans="1:42" ht="77.25">
      <c r="A7" s="197" t="s">
        <v>195</v>
      </c>
      <c r="B7" s="198">
        <f t="shared" si="4"/>
        <v>20118.239999999998</v>
      </c>
      <c r="C7" s="198"/>
      <c r="D7" s="198"/>
      <c r="E7" s="198">
        <f t="shared" si="0"/>
        <v>0</v>
      </c>
      <c r="F7" s="198">
        <f>7215+9118.72+60821.3</f>
        <v>77155.02</v>
      </c>
      <c r="G7" s="198">
        <v>-77155.02</v>
      </c>
      <c r="H7" s="198">
        <f>42586.07+7200</f>
        <v>49786.07</v>
      </c>
      <c r="I7" s="198">
        <v>-49786.07</v>
      </c>
      <c r="J7" s="198">
        <f t="shared" si="1"/>
        <v>0</v>
      </c>
      <c r="K7" s="199">
        <v>0</v>
      </c>
      <c r="L7" s="199">
        <v>0</v>
      </c>
      <c r="M7" s="199"/>
      <c r="N7" s="199"/>
      <c r="O7" s="200"/>
      <c r="P7" s="200"/>
      <c r="Q7" s="199">
        <v>16673.87</v>
      </c>
      <c r="R7" s="199">
        <v>16673.87</v>
      </c>
      <c r="S7" s="198">
        <f>Φύλλο3!AI6</f>
        <v>20118.239999999998</v>
      </c>
      <c r="T7" s="198">
        <f>Φύλλο3!AJ6</f>
        <v>20118.239999999998</v>
      </c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>
        <f t="shared" si="2"/>
        <v>36792.11</v>
      </c>
      <c r="AN7" s="198">
        <f t="shared" si="3"/>
        <v>36792.11</v>
      </c>
      <c r="AO7" s="201">
        <f t="shared" si="5"/>
        <v>0</v>
      </c>
      <c r="AP7" s="201">
        <f t="shared" si="6"/>
        <v>0</v>
      </c>
    </row>
    <row r="8" spans="1:42" ht="77.25">
      <c r="A8" s="197" t="s">
        <v>196</v>
      </c>
      <c r="B8" s="198">
        <f t="shared" si="4"/>
        <v>9800</v>
      </c>
      <c r="C8" s="198"/>
      <c r="D8" s="198"/>
      <c r="E8" s="198">
        <f t="shared" si="0"/>
        <v>0</v>
      </c>
      <c r="F8" s="198">
        <f>102158.24+6053</f>
        <v>108211.24</v>
      </c>
      <c r="G8" s="198">
        <v>-108211.24</v>
      </c>
      <c r="H8" s="198">
        <f>20981+36000</f>
        <v>56981</v>
      </c>
      <c r="I8" s="198">
        <v>-56981</v>
      </c>
      <c r="J8" s="198">
        <f t="shared" si="1"/>
        <v>0</v>
      </c>
      <c r="K8" s="199">
        <v>0</v>
      </c>
      <c r="L8" s="199">
        <v>0</v>
      </c>
      <c r="M8" s="199"/>
      <c r="N8" s="199"/>
      <c r="O8" s="200"/>
      <c r="P8" s="200"/>
      <c r="Q8" s="199">
        <v>9820</v>
      </c>
      <c r="R8" s="199">
        <v>9820</v>
      </c>
      <c r="S8" s="198">
        <f>Φύλλο3!AI7</f>
        <v>9800</v>
      </c>
      <c r="T8" s="198">
        <f>Φύλλο3!AJ7</f>
        <v>9800</v>
      </c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>
        <f t="shared" si="2"/>
        <v>19620</v>
      </c>
      <c r="AN8" s="198">
        <f t="shared" si="3"/>
        <v>19620</v>
      </c>
      <c r="AO8" s="201">
        <f t="shared" si="5"/>
        <v>0</v>
      </c>
      <c r="AP8" s="201">
        <f t="shared" si="6"/>
        <v>0</v>
      </c>
    </row>
    <row r="9" spans="1:42" ht="51.75">
      <c r="A9" s="197" t="s">
        <v>197</v>
      </c>
      <c r="B9" s="198">
        <f t="shared" si="4"/>
        <v>121000</v>
      </c>
      <c r="C9" s="198"/>
      <c r="D9" s="198"/>
      <c r="E9" s="198">
        <f t="shared" si="0"/>
        <v>0</v>
      </c>
      <c r="F9" s="198">
        <f>1533762.48+14000+65000</f>
        <v>1612762.48</v>
      </c>
      <c r="G9" s="198">
        <v>-1612762.48</v>
      </c>
      <c r="H9" s="198">
        <f>20617.7+144000+50000</f>
        <v>214617.7</v>
      </c>
      <c r="I9" s="198">
        <v>-214617.7</v>
      </c>
      <c r="J9" s="198">
        <f t="shared" si="1"/>
        <v>0</v>
      </c>
      <c r="K9" s="199">
        <v>0</v>
      </c>
      <c r="L9" s="199">
        <v>0</v>
      </c>
      <c r="M9" s="199"/>
      <c r="N9" s="199"/>
      <c r="O9" s="200"/>
      <c r="P9" s="200"/>
      <c r="Q9" s="199">
        <v>121000</v>
      </c>
      <c r="R9" s="199">
        <v>121000</v>
      </c>
      <c r="S9" s="198">
        <f>Φύλλο3!AI8</f>
        <v>121000</v>
      </c>
      <c r="T9" s="198">
        <f>Φύλλο3!AJ8</f>
        <v>121000</v>
      </c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>
        <f t="shared" si="2"/>
        <v>242000</v>
      </c>
      <c r="AN9" s="198">
        <f t="shared" si="3"/>
        <v>242000</v>
      </c>
      <c r="AO9" s="201">
        <f t="shared" si="5"/>
        <v>0</v>
      </c>
      <c r="AP9" s="201">
        <f t="shared" si="6"/>
        <v>0</v>
      </c>
    </row>
    <row r="10" spans="1:42" ht="26.25">
      <c r="A10" s="197" t="s">
        <v>198</v>
      </c>
      <c r="B10" s="198">
        <f>[1]ΟΧΙ!B2+20585880</f>
        <v>26791052.399999999</v>
      </c>
      <c r="C10" s="198">
        <v>2048245.6</v>
      </c>
      <c r="D10" s="198">
        <v>1935228.21</v>
      </c>
      <c r="E10" s="198">
        <v>5332564.7</v>
      </c>
      <c r="F10" s="198">
        <f>H10</f>
        <v>2151999.79</v>
      </c>
      <c r="G10" s="198">
        <v>3430980</v>
      </c>
      <c r="H10" s="198">
        <v>2151999.79</v>
      </c>
      <c r="I10" s="198">
        <v>3430980</v>
      </c>
      <c r="J10" s="198">
        <v>5133525.0599999996</v>
      </c>
      <c r="K10" s="199">
        <v>9374745.6300000008</v>
      </c>
      <c r="L10" s="199">
        <v>9374745.6300000008</v>
      </c>
      <c r="M10" s="199">
        <f>O10</f>
        <v>8822520</v>
      </c>
      <c r="N10" s="199">
        <f>P10</f>
        <v>8305896.6200000001</v>
      </c>
      <c r="O10" s="200">
        <v>8822520</v>
      </c>
      <c r="P10" s="200">
        <v>8305896.6200000001</v>
      </c>
      <c r="Q10" s="199">
        <f>7366506.44-Q11</f>
        <v>7186035.8800000008</v>
      </c>
      <c r="R10" s="199">
        <v>8014716.29</v>
      </c>
      <c r="S10" s="198">
        <f>3495396.3-113017.39</f>
        <v>3382378.9099999997</v>
      </c>
      <c r="T10" s="198">
        <v>3300000</v>
      </c>
      <c r="U10" s="198"/>
      <c r="V10" s="198"/>
      <c r="W10" s="198"/>
      <c r="X10" s="198"/>
      <c r="Y10" s="198"/>
      <c r="Z10" s="198"/>
      <c r="AA10" s="198"/>
      <c r="AB10" s="198"/>
      <c r="AC10" s="198">
        <v>19307.310000000001</v>
      </c>
      <c r="AD10" s="198">
        <v>101686.22</v>
      </c>
      <c r="AE10" s="198"/>
      <c r="AF10" s="198"/>
      <c r="AG10" s="198"/>
      <c r="AH10" s="198"/>
      <c r="AI10" s="198"/>
      <c r="AJ10" s="198"/>
      <c r="AK10" s="198"/>
      <c r="AL10" s="198"/>
      <c r="AM10" s="198">
        <f t="shared" si="2"/>
        <v>26791052.399999999</v>
      </c>
      <c r="AN10" s="198">
        <f t="shared" si="3"/>
        <v>26791052.399999999</v>
      </c>
      <c r="AO10" s="201">
        <f>B10-AM10</f>
        <v>0</v>
      </c>
      <c r="AP10" s="201">
        <f>B10-AN10</f>
        <v>0</v>
      </c>
    </row>
    <row r="11" spans="1:42" ht="39">
      <c r="A11" s="197" t="s">
        <v>199</v>
      </c>
      <c r="B11" s="198">
        <v>311000</v>
      </c>
      <c r="C11" s="198"/>
      <c r="D11" s="198"/>
      <c r="E11" s="198"/>
      <c r="F11" s="198"/>
      <c r="G11" s="198"/>
      <c r="H11" s="198"/>
      <c r="I11" s="198"/>
      <c r="J11" s="198"/>
      <c r="K11" s="199">
        <f>82000+27000+5000</f>
        <v>114000</v>
      </c>
      <c r="L11" s="199">
        <f>K11</f>
        <v>114000</v>
      </c>
      <c r="M11" s="199"/>
      <c r="N11" s="199"/>
      <c r="O11" s="200">
        <v>0</v>
      </c>
      <c r="P11" s="200"/>
      <c r="Q11" s="199">
        <f>98470.56+82000</f>
        <v>180470.56</v>
      </c>
      <c r="R11" s="199">
        <f>98470.56+82000</f>
        <v>180470.56</v>
      </c>
      <c r="S11" s="198">
        <f>98529.44-82000+114000-50000+20000</f>
        <v>100529.44</v>
      </c>
      <c r="T11" s="198">
        <f>98529.44-82000+114000-50000+20000</f>
        <v>100529.44</v>
      </c>
      <c r="U11" s="198"/>
      <c r="V11" s="198"/>
      <c r="W11" s="198"/>
      <c r="X11" s="198"/>
      <c r="Y11" s="198"/>
      <c r="Z11" s="198"/>
      <c r="AA11" s="198"/>
      <c r="AB11" s="198"/>
      <c r="AC11" s="198">
        <v>30000</v>
      </c>
      <c r="AD11" s="198">
        <v>30000</v>
      </c>
      <c r="AE11" s="198"/>
      <c r="AF11" s="198"/>
      <c r="AG11" s="198"/>
      <c r="AH11" s="198"/>
      <c r="AI11" s="198"/>
      <c r="AJ11" s="198"/>
      <c r="AK11" s="198"/>
      <c r="AL11" s="198"/>
      <c r="AM11" s="198">
        <f t="shared" si="2"/>
        <v>311000</v>
      </c>
      <c r="AN11" s="198">
        <f t="shared" si="3"/>
        <v>311000</v>
      </c>
      <c r="AO11" s="201">
        <f>B11-AM11</f>
        <v>0</v>
      </c>
      <c r="AP11" s="201">
        <f>B11-AN11</f>
        <v>0</v>
      </c>
    </row>
    <row r="12" spans="1:42" ht="26.25">
      <c r="A12" s="197" t="s">
        <v>200</v>
      </c>
      <c r="B12" s="198">
        <f>[1]ΟΧΙ!B3-304442.24</f>
        <v>7330557.7599999998</v>
      </c>
      <c r="C12" s="198">
        <v>2829345.07</v>
      </c>
      <c r="D12" s="198">
        <v>1872357.68</v>
      </c>
      <c r="E12" s="198">
        <v>2701212.69</v>
      </c>
      <c r="F12" s="198">
        <f>H12</f>
        <v>4696987.3900000006</v>
      </c>
      <c r="G12" s="198"/>
      <c r="H12" s="198">
        <v>4696987.3900000006</v>
      </c>
      <c r="I12" s="198"/>
      <c r="J12" s="198">
        <f>H12+I12-1012850.47-28773.71</f>
        <v>3655363.2100000009</v>
      </c>
      <c r="K12" s="199">
        <f>1065654.93+1012850.47+28773.71-6483.67+3646.8</f>
        <v>2104442.2399999998</v>
      </c>
      <c r="L12" s="199">
        <v>2107279.11</v>
      </c>
      <c r="M12" s="199">
        <f>O12</f>
        <v>1800000</v>
      </c>
      <c r="N12" s="199">
        <f>P12</f>
        <v>1431678.71</v>
      </c>
      <c r="O12" s="200">
        <v>1800000</v>
      </c>
      <c r="P12" s="200">
        <v>1431678.71</v>
      </c>
      <c r="Q12" s="199"/>
      <c r="R12" s="199">
        <v>371158.16</v>
      </c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>
        <f t="shared" si="2"/>
        <v>7330557.7599999998</v>
      </c>
      <c r="AN12" s="198">
        <f t="shared" si="3"/>
        <v>7330557.7600000007</v>
      </c>
      <c r="AO12" s="201">
        <f>B12-AM12</f>
        <v>0</v>
      </c>
      <c r="AP12" s="201">
        <f>B12-AN12</f>
        <v>0</v>
      </c>
    </row>
    <row r="13" spans="1:42" ht="51.75">
      <c r="A13" s="197" t="s">
        <v>201</v>
      </c>
      <c r="B13" s="198">
        <v>15866400</v>
      </c>
      <c r="C13" s="198"/>
      <c r="D13" s="198"/>
      <c r="E13" s="198">
        <f t="shared" si="0"/>
        <v>0</v>
      </c>
      <c r="F13" s="198"/>
      <c r="G13" s="198"/>
      <c r="H13" s="198"/>
      <c r="I13" s="198"/>
      <c r="J13" s="198">
        <f t="shared" si="1"/>
        <v>0</v>
      </c>
      <c r="K13" s="199">
        <v>2644400</v>
      </c>
      <c r="L13" s="199">
        <v>2644400</v>
      </c>
      <c r="M13" s="199"/>
      <c r="N13" s="199"/>
      <c r="O13" s="200">
        <v>0</v>
      </c>
      <c r="P13" s="200">
        <v>0</v>
      </c>
      <c r="Q13" s="199">
        <v>7311140</v>
      </c>
      <c r="R13" s="199">
        <v>7311140</v>
      </c>
      <c r="S13" s="198">
        <v>6800000</v>
      </c>
      <c r="T13" s="198">
        <v>6800000</v>
      </c>
      <c r="U13" s="198"/>
      <c r="V13" s="198"/>
      <c r="W13" s="198"/>
      <c r="X13" s="198"/>
      <c r="Y13" s="198"/>
      <c r="Z13" s="198"/>
      <c r="AA13" s="198"/>
      <c r="AB13" s="198"/>
      <c r="AC13" s="198">
        <v>1755260</v>
      </c>
      <c r="AD13" s="198">
        <v>1755260</v>
      </c>
      <c r="AE13" s="198"/>
      <c r="AF13" s="198"/>
      <c r="AG13" s="198"/>
      <c r="AH13" s="198"/>
      <c r="AI13" s="198"/>
      <c r="AJ13" s="198"/>
      <c r="AK13" s="198"/>
      <c r="AL13" s="198"/>
      <c r="AM13" s="198">
        <f t="shared" si="2"/>
        <v>15866400</v>
      </c>
      <c r="AN13" s="198">
        <f t="shared" si="3"/>
        <v>15866400</v>
      </c>
      <c r="AO13" s="201">
        <f>B13-AM13</f>
        <v>0</v>
      </c>
      <c r="AP13" s="201">
        <f>B13-AN13</f>
        <v>0</v>
      </c>
    </row>
    <row r="14" spans="1:42" ht="51.75">
      <c r="A14" s="197" t="s">
        <v>202</v>
      </c>
      <c r="B14" s="198">
        <v>113240</v>
      </c>
      <c r="C14" s="198"/>
      <c r="D14" s="198"/>
      <c r="E14" s="198"/>
      <c r="F14" s="198"/>
      <c r="G14" s="198"/>
      <c r="H14" s="198"/>
      <c r="I14" s="198"/>
      <c r="J14" s="198"/>
      <c r="K14" s="199">
        <v>41240</v>
      </c>
      <c r="L14" s="199">
        <v>41240</v>
      </c>
      <c r="M14" s="199"/>
      <c r="N14" s="199"/>
      <c r="O14" s="200">
        <v>0</v>
      </c>
      <c r="P14" s="200">
        <v>0</v>
      </c>
      <c r="Q14" s="199">
        <f>43200+25000</f>
        <v>68200</v>
      </c>
      <c r="R14" s="199">
        <f>Q14</f>
        <v>68200</v>
      </c>
      <c r="S14" s="198">
        <f>28800-25000+41240</f>
        <v>45040</v>
      </c>
      <c r="T14" s="198">
        <f>S14</f>
        <v>45040</v>
      </c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>
        <f t="shared" si="2"/>
        <v>113240</v>
      </c>
      <c r="AN14" s="198">
        <f t="shared" si="3"/>
        <v>113240</v>
      </c>
      <c r="AO14" s="201">
        <f>B14-AM14</f>
        <v>0</v>
      </c>
      <c r="AP14" s="201">
        <f>B14-AN14</f>
        <v>0</v>
      </c>
    </row>
    <row r="15" spans="1:42" ht="26.25">
      <c r="A15" s="197" t="s">
        <v>203</v>
      </c>
      <c r="B15" s="198">
        <f>[1]ΟΧΙ!B4-1078460.41</f>
        <v>3058321.1900000004</v>
      </c>
      <c r="C15" s="198">
        <f>D15+132340.13</f>
        <v>1034195.4</v>
      </c>
      <c r="D15" s="198">
        <v>901855.27</v>
      </c>
      <c r="E15" s="198">
        <v>1493447.36</v>
      </c>
      <c r="F15" s="198">
        <f>H15</f>
        <v>2200730.9300000002</v>
      </c>
      <c r="G15" s="198"/>
      <c r="H15" s="198">
        <v>2200730.9300000002</v>
      </c>
      <c r="I15" s="198"/>
      <c r="J15" s="198">
        <v>1519283.92</v>
      </c>
      <c r="K15" s="199">
        <f>1716429.9-107291.06</f>
        <v>1609138.8399999999</v>
      </c>
      <c r="L15" s="199">
        <f>K15+106503.57</f>
        <v>1715642.41</v>
      </c>
      <c r="M15" s="199">
        <f>O15</f>
        <v>530678.43000000005</v>
      </c>
      <c r="N15" s="199">
        <f>P15</f>
        <v>403100.41</v>
      </c>
      <c r="O15" s="200">
        <v>530678.43000000005</v>
      </c>
      <c r="P15" s="200">
        <v>403100.41</v>
      </c>
      <c r="Q15" s="199"/>
      <c r="R15" s="199">
        <v>234081.59</v>
      </c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>
        <f t="shared" si="2"/>
        <v>3058321.1900000004</v>
      </c>
      <c r="AN15" s="198">
        <f t="shared" si="3"/>
        <v>3058321.19</v>
      </c>
      <c r="AO15" s="201">
        <f>B15-AM15</f>
        <v>0</v>
      </c>
      <c r="AP15" s="201">
        <f>B15-AN15</f>
        <v>0</v>
      </c>
    </row>
    <row r="16" spans="1:42" ht="26.25">
      <c r="A16" s="197" t="s">
        <v>204</v>
      </c>
      <c r="B16" s="198">
        <v>1288875.8799999999</v>
      </c>
      <c r="C16" s="198">
        <f>D16+132647.34</f>
        <v>436650</v>
      </c>
      <c r="D16" s="198">
        <f>267453.96+36548.7</f>
        <v>304002.66000000003</v>
      </c>
      <c r="E16" s="198">
        <v>97906.86</v>
      </c>
      <c r="F16" s="198">
        <f>H16</f>
        <v>197569.09999999998</v>
      </c>
      <c r="G16" s="198">
        <v>97906.86</v>
      </c>
      <c r="H16" s="198">
        <v>197569.09999999998</v>
      </c>
      <c r="I16" s="198">
        <v>97906.86</v>
      </c>
      <c r="J16" s="198">
        <v>204768.2</v>
      </c>
      <c r="K16" s="199">
        <f>402000-25786</f>
        <v>376214</v>
      </c>
      <c r="L16" s="199">
        <v>402000</v>
      </c>
      <c r="M16" s="199">
        <f>O16</f>
        <v>57050</v>
      </c>
      <c r="N16" s="199">
        <f>P16</f>
        <v>52528.32</v>
      </c>
      <c r="O16" s="200">
        <v>57050</v>
      </c>
      <c r="P16" s="200">
        <v>52528.32</v>
      </c>
      <c r="Q16" s="199">
        <f>240000+50000</f>
        <v>290000</v>
      </c>
      <c r="R16" s="199">
        <v>320307.68</v>
      </c>
      <c r="S16" s="198">
        <v>290000</v>
      </c>
      <c r="T16" s="198">
        <f>320307.68-30307.68</f>
        <v>290000</v>
      </c>
      <c r="U16" s="198"/>
      <c r="V16" s="198"/>
      <c r="W16" s="198"/>
      <c r="X16" s="198"/>
      <c r="Y16" s="198"/>
      <c r="Z16" s="198"/>
      <c r="AA16" s="198"/>
      <c r="AB16" s="198"/>
      <c r="AC16" s="198">
        <v>117269.02</v>
      </c>
      <c r="AD16" s="198">
        <v>117269.02</v>
      </c>
      <c r="AE16" s="198"/>
      <c r="AF16" s="198"/>
      <c r="AG16" s="198"/>
      <c r="AH16" s="198"/>
      <c r="AI16" s="198"/>
      <c r="AJ16" s="198"/>
      <c r="AK16" s="198"/>
      <c r="AL16" s="198"/>
      <c r="AM16" s="198">
        <f t="shared" si="2"/>
        <v>1288875.8799999999</v>
      </c>
      <c r="AN16" s="198">
        <f t="shared" si="3"/>
        <v>1288875.8800000001</v>
      </c>
      <c r="AO16" s="201">
        <f>B16-AM16</f>
        <v>0</v>
      </c>
      <c r="AP16" s="201">
        <f>B16-AN16</f>
        <v>0</v>
      </c>
    </row>
    <row r="17" spans="1:43" ht="39">
      <c r="A17" s="197" t="s">
        <v>205</v>
      </c>
      <c r="B17" s="198">
        <v>12996820</v>
      </c>
      <c r="C17" s="198">
        <v>0</v>
      </c>
      <c r="D17" s="198">
        <v>0</v>
      </c>
      <c r="E17" s="198">
        <v>0</v>
      </c>
      <c r="F17" s="198">
        <f>H17</f>
        <v>2437.59</v>
      </c>
      <c r="G17" s="198">
        <f>1971.6-F17</f>
        <v>-465.99000000000024</v>
      </c>
      <c r="H17" s="198">
        <v>2437.59</v>
      </c>
      <c r="I17" s="198">
        <f>1971.6-H17</f>
        <v>-465.99000000000024</v>
      </c>
      <c r="J17" s="198">
        <v>0</v>
      </c>
      <c r="K17" s="199"/>
      <c r="L17" s="199"/>
      <c r="M17" s="199"/>
      <c r="N17" s="199"/>
      <c r="O17" s="200"/>
      <c r="P17" s="200">
        <v>0</v>
      </c>
      <c r="Q17" s="199">
        <v>12996820</v>
      </c>
      <c r="R17" s="199">
        <v>11000000</v>
      </c>
      <c r="S17" s="198">
        <v>0</v>
      </c>
      <c r="T17" s="198">
        <f>B17-R17</f>
        <v>1996820</v>
      </c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>
        <f t="shared" si="2"/>
        <v>12996820</v>
      </c>
      <c r="AN17" s="198">
        <f t="shared" si="3"/>
        <v>12996820</v>
      </c>
      <c r="AO17" s="201">
        <f>B17-AM17</f>
        <v>0</v>
      </c>
      <c r="AP17" s="201">
        <f>B17-AN17</f>
        <v>0</v>
      </c>
    </row>
    <row r="18" spans="1:43" ht="26.25">
      <c r="A18" s="227" t="s">
        <v>255</v>
      </c>
      <c r="B18" s="198">
        <v>13000000</v>
      </c>
      <c r="C18" s="198"/>
      <c r="D18" s="198"/>
      <c r="E18" s="198"/>
      <c r="F18" s="198"/>
      <c r="G18" s="198"/>
      <c r="H18" s="198"/>
      <c r="I18" s="198"/>
      <c r="J18" s="198"/>
      <c r="K18" s="199"/>
      <c r="L18" s="199"/>
      <c r="M18" s="199"/>
      <c r="N18" s="199"/>
      <c r="O18" s="200"/>
      <c r="P18" s="200"/>
      <c r="Q18" s="199"/>
      <c r="R18" s="199"/>
      <c r="S18" s="198">
        <v>11000000</v>
      </c>
      <c r="T18" s="198">
        <v>8900000</v>
      </c>
      <c r="U18" s="198"/>
      <c r="V18" s="198"/>
      <c r="W18" s="198"/>
      <c r="X18" s="198"/>
      <c r="Y18" s="198"/>
      <c r="Z18" s="198"/>
      <c r="AA18" s="198"/>
      <c r="AB18" s="198"/>
      <c r="AC18" s="198">
        <v>2000000</v>
      </c>
      <c r="AD18" s="198">
        <v>4100000</v>
      </c>
      <c r="AE18" s="198"/>
      <c r="AF18" s="198"/>
      <c r="AG18" s="198"/>
      <c r="AH18" s="198"/>
      <c r="AI18" s="198"/>
      <c r="AJ18" s="198"/>
      <c r="AK18" s="198"/>
      <c r="AL18" s="198"/>
      <c r="AM18" s="198">
        <f t="shared" si="2"/>
        <v>13000000</v>
      </c>
      <c r="AN18" s="198">
        <f t="shared" si="3"/>
        <v>13000000</v>
      </c>
      <c r="AO18" s="201">
        <f>B18-AM18</f>
        <v>0</v>
      </c>
      <c r="AP18" s="201">
        <f>B18-AN18</f>
        <v>0</v>
      </c>
    </row>
    <row r="19" spans="1:43" ht="26.25" hidden="1">
      <c r="A19" s="197" t="s">
        <v>206</v>
      </c>
      <c r="B19" s="198">
        <f>N19+R19</f>
        <v>6978760</v>
      </c>
      <c r="C19" s="198"/>
      <c r="D19" s="198"/>
      <c r="E19" s="198">
        <f t="shared" si="0"/>
        <v>8429454</v>
      </c>
      <c r="F19" s="198"/>
      <c r="G19" s="198">
        <v>8429454</v>
      </c>
      <c r="H19" s="198"/>
      <c r="I19" s="198">
        <v>8429454</v>
      </c>
      <c r="J19" s="198">
        <v>0</v>
      </c>
      <c r="K19" s="199">
        <f>B19-G19</f>
        <v>-1450694</v>
      </c>
      <c r="L19" s="199">
        <v>12650580</v>
      </c>
      <c r="M19" s="199"/>
      <c r="N19" s="199">
        <f>P19</f>
        <v>6912260</v>
      </c>
      <c r="O19" s="200"/>
      <c r="P19" s="200">
        <v>6912260</v>
      </c>
      <c r="Q19" s="199"/>
      <c r="R19" s="199">
        <v>66500</v>
      </c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>
        <f t="shared" si="2"/>
        <v>8429454</v>
      </c>
      <c r="AN19" s="198">
        <f t="shared" si="3"/>
        <v>6978760</v>
      </c>
      <c r="AO19" s="201">
        <f>B19-AM19</f>
        <v>-1450694</v>
      </c>
      <c r="AP19" s="201">
        <f>B19-AN19</f>
        <v>0</v>
      </c>
      <c r="AQ19" s="202" t="s">
        <v>253</v>
      </c>
    </row>
    <row r="20" spans="1:43" ht="39" hidden="1">
      <c r="A20" s="197" t="s">
        <v>207</v>
      </c>
      <c r="B20" s="198">
        <f>J20+R20</f>
        <v>6426.07</v>
      </c>
      <c r="C20" s="198"/>
      <c r="D20" s="198"/>
      <c r="E20" s="198">
        <f t="shared" si="0"/>
        <v>6500</v>
      </c>
      <c r="F20" s="198"/>
      <c r="G20" s="198">
        <v>6500</v>
      </c>
      <c r="H20" s="198"/>
      <c r="I20" s="198">
        <v>6500</v>
      </c>
      <c r="J20" s="198">
        <v>4938.07</v>
      </c>
      <c r="K20" s="199">
        <f>B20-G20</f>
        <v>-73.930000000000291</v>
      </c>
      <c r="L20" s="199">
        <f>1561.93+1070</f>
        <v>2631.9300000000003</v>
      </c>
      <c r="M20" s="199"/>
      <c r="N20" s="199"/>
      <c r="O20" s="200"/>
      <c r="P20" s="200">
        <v>0</v>
      </c>
      <c r="Q20" s="199"/>
      <c r="R20" s="199">
        <v>1488</v>
      </c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>
        <f t="shared" si="2"/>
        <v>6500</v>
      </c>
      <c r="AN20" s="198">
        <f t="shared" si="3"/>
        <v>6426.07</v>
      </c>
      <c r="AO20" s="201">
        <f>B20-AM20</f>
        <v>-73.930000000000291</v>
      </c>
      <c r="AP20" s="201">
        <f>B20-AN20</f>
        <v>0</v>
      </c>
      <c r="AQ20" s="202" t="s">
        <v>254</v>
      </c>
    </row>
    <row r="21" spans="1:43" ht="39" hidden="1">
      <c r="A21" s="197" t="s">
        <v>208</v>
      </c>
      <c r="B21" s="198">
        <v>0</v>
      </c>
      <c r="C21" s="198"/>
      <c r="D21" s="198"/>
      <c r="E21" s="198">
        <v>0</v>
      </c>
      <c r="F21" s="198"/>
      <c r="G21" s="198">
        <v>101800</v>
      </c>
      <c r="H21" s="198"/>
      <c r="I21" s="198">
        <v>101800</v>
      </c>
      <c r="J21" s="198">
        <v>0</v>
      </c>
      <c r="K21" s="199">
        <v>78750</v>
      </c>
      <c r="L21" s="199">
        <v>78750</v>
      </c>
      <c r="M21" s="199"/>
      <c r="N21" s="199"/>
      <c r="O21" s="200"/>
      <c r="P21" s="200">
        <v>0</v>
      </c>
      <c r="Q21" s="199"/>
      <c r="R21" s="199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>
        <f t="shared" si="2"/>
        <v>0</v>
      </c>
      <c r="AN21" s="198">
        <f t="shared" si="3"/>
        <v>0</v>
      </c>
      <c r="AO21" s="201">
        <f t="shared" ref="AO21:AO36" si="7">B21-AM21</f>
        <v>0</v>
      </c>
      <c r="AP21" s="201">
        <f>B21-AN21</f>
        <v>0</v>
      </c>
    </row>
    <row r="22" spans="1:43">
      <c r="A22" s="197" t="s">
        <v>209</v>
      </c>
      <c r="B22" s="198">
        <v>1343415.13</v>
      </c>
      <c r="C22" s="198">
        <v>0</v>
      </c>
      <c r="D22" s="198">
        <v>0</v>
      </c>
      <c r="E22" s="198">
        <v>0</v>
      </c>
      <c r="F22" s="198">
        <f>2850000+55000-399750</f>
        <v>2505250</v>
      </c>
      <c r="G22" s="198">
        <v>-2355250</v>
      </c>
      <c r="H22" s="198">
        <v>2505250</v>
      </c>
      <c r="I22" s="198">
        <v>-2355250</v>
      </c>
      <c r="J22" s="198">
        <v>0</v>
      </c>
      <c r="K22" s="199">
        <v>1219276.3700000001</v>
      </c>
      <c r="L22" s="199">
        <v>825000</v>
      </c>
      <c r="M22" s="199"/>
      <c r="N22" s="199"/>
      <c r="O22" s="200"/>
      <c r="P22" s="200"/>
      <c r="Q22" s="199">
        <v>15000</v>
      </c>
      <c r="R22" s="199">
        <v>0</v>
      </c>
      <c r="S22" s="198">
        <v>16000</v>
      </c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>
        <f t="shared" si="2"/>
        <v>31000</v>
      </c>
      <c r="AN22" s="198">
        <f t="shared" si="3"/>
        <v>0</v>
      </c>
      <c r="AO22" s="201">
        <v>0</v>
      </c>
      <c r="AP22" s="201">
        <v>0</v>
      </c>
    </row>
    <row r="23" spans="1:43" ht="39" hidden="1">
      <c r="A23" s="197" t="s">
        <v>210</v>
      </c>
      <c r="B23" s="198">
        <v>80000</v>
      </c>
      <c r="C23" s="198"/>
      <c r="D23" s="198"/>
      <c r="E23" s="198">
        <v>80000</v>
      </c>
      <c r="F23" s="198">
        <v>80000</v>
      </c>
      <c r="G23" s="198">
        <v>-38971</v>
      </c>
      <c r="H23" s="198">
        <v>80000</v>
      </c>
      <c r="I23" s="198">
        <v>-38971</v>
      </c>
      <c r="J23" s="198">
        <v>21031.81</v>
      </c>
      <c r="K23" s="199">
        <v>0</v>
      </c>
      <c r="L23" s="199">
        <f>38971+19997.19</f>
        <v>58968.19</v>
      </c>
      <c r="M23" s="199"/>
      <c r="N23" s="199">
        <f>P23</f>
        <v>34697.440000000002</v>
      </c>
      <c r="O23" s="200"/>
      <c r="P23" s="200">
        <v>34697.440000000002</v>
      </c>
      <c r="Q23" s="199"/>
      <c r="R23" s="199">
        <v>10100</v>
      </c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>
        <f t="shared" si="2"/>
        <v>80000</v>
      </c>
      <c r="AN23" s="198">
        <f t="shared" si="3"/>
        <v>65829.25</v>
      </c>
      <c r="AO23" s="201">
        <f t="shared" si="7"/>
        <v>0</v>
      </c>
      <c r="AP23" s="201">
        <f>B23-AN23</f>
        <v>14170.75</v>
      </c>
    </row>
    <row r="24" spans="1:43" ht="64.5" hidden="1">
      <c r="A24" s="197" t="s">
        <v>211</v>
      </c>
      <c r="B24" s="198">
        <v>90000</v>
      </c>
      <c r="C24" s="198"/>
      <c r="D24" s="198"/>
      <c r="E24" s="198">
        <v>90000</v>
      </c>
      <c r="F24" s="198">
        <v>90000</v>
      </c>
      <c r="G24" s="198">
        <v>-52900</v>
      </c>
      <c r="H24" s="198">
        <v>90000</v>
      </c>
      <c r="I24" s="198">
        <v>-52900</v>
      </c>
      <c r="J24" s="198">
        <v>9117.7900000000009</v>
      </c>
      <c r="K24" s="199">
        <v>0</v>
      </c>
      <c r="L24" s="199">
        <f>52900+27982.21</f>
        <v>80882.209999999992</v>
      </c>
      <c r="M24" s="199"/>
      <c r="N24" s="199">
        <f>P24</f>
        <v>39924.839999999997</v>
      </c>
      <c r="O24" s="200"/>
      <c r="P24" s="200">
        <v>39924.839999999997</v>
      </c>
      <c r="Q24" s="199"/>
      <c r="R24" s="199">
        <v>15535.78</v>
      </c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>
        <f t="shared" si="2"/>
        <v>90000</v>
      </c>
      <c r="AN24" s="198">
        <f t="shared" si="3"/>
        <v>64578.409999999996</v>
      </c>
      <c r="AO24" s="201">
        <f t="shared" si="7"/>
        <v>0</v>
      </c>
      <c r="AP24" s="201">
        <f>B24-AN24</f>
        <v>25421.590000000004</v>
      </c>
    </row>
    <row r="25" spans="1:43" ht="51.75" hidden="1">
      <c r="A25" s="197" t="s">
        <v>212</v>
      </c>
      <c r="B25" s="198">
        <v>80000</v>
      </c>
      <c r="C25" s="198"/>
      <c r="D25" s="198"/>
      <c r="E25" s="198">
        <v>80000</v>
      </c>
      <c r="F25" s="198">
        <v>80000</v>
      </c>
      <c r="G25" s="198">
        <v>-42488</v>
      </c>
      <c r="H25" s="198">
        <v>80000</v>
      </c>
      <c r="I25" s="198">
        <v>-42488</v>
      </c>
      <c r="J25" s="198">
        <v>9966.23</v>
      </c>
      <c r="K25" s="199">
        <v>0</v>
      </c>
      <c r="L25" s="199">
        <f>42488+27545.77</f>
        <v>70033.77</v>
      </c>
      <c r="M25" s="199"/>
      <c r="N25" s="199">
        <f>P25</f>
        <v>51495.28</v>
      </c>
      <c r="O25" s="200"/>
      <c r="P25" s="200">
        <v>51495.28</v>
      </c>
      <c r="Q25" s="199"/>
      <c r="R25" s="199">
        <v>15732.67</v>
      </c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>
        <f t="shared" si="2"/>
        <v>80000</v>
      </c>
      <c r="AN25" s="198">
        <f t="shared" si="3"/>
        <v>77194.179999999993</v>
      </c>
      <c r="AO25" s="201">
        <f t="shared" si="7"/>
        <v>0</v>
      </c>
      <c r="AP25" s="201">
        <f>B25-AN25</f>
        <v>2805.820000000007</v>
      </c>
    </row>
    <row r="26" spans="1:43" ht="51.75" hidden="1">
      <c r="A26" s="197" t="s">
        <v>213</v>
      </c>
      <c r="B26" s="198">
        <v>149750</v>
      </c>
      <c r="C26" s="198"/>
      <c r="D26" s="198"/>
      <c r="E26" s="198">
        <v>149750</v>
      </c>
      <c r="F26" s="198">
        <v>149750</v>
      </c>
      <c r="G26" s="198">
        <v>-68100</v>
      </c>
      <c r="H26" s="198">
        <v>149750</v>
      </c>
      <c r="I26" s="198">
        <v>-68100</v>
      </c>
      <c r="J26" s="198">
        <v>69075</v>
      </c>
      <c r="K26" s="199">
        <v>0</v>
      </c>
      <c r="L26" s="199">
        <f>68100+12575</f>
        <v>80675</v>
      </c>
      <c r="M26" s="199"/>
      <c r="N26" s="199">
        <f>P26</f>
        <v>80490</v>
      </c>
      <c r="O26" s="200"/>
      <c r="P26" s="200">
        <v>80490</v>
      </c>
      <c r="Q26" s="199"/>
      <c r="R26" s="199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>
        <f t="shared" si="2"/>
        <v>149750</v>
      </c>
      <c r="AN26" s="198">
        <f t="shared" si="3"/>
        <v>149565</v>
      </c>
      <c r="AO26" s="201">
        <f t="shared" si="7"/>
        <v>0</v>
      </c>
      <c r="AP26" s="201">
        <f>B26-AN26</f>
        <v>185</v>
      </c>
    </row>
    <row r="27" spans="1:43" ht="51.75" hidden="1">
      <c r="A27" s="197" t="s">
        <v>214</v>
      </c>
      <c r="B27" s="198">
        <v>5799.63</v>
      </c>
      <c r="C27" s="198"/>
      <c r="D27" s="198"/>
      <c r="E27" s="198"/>
      <c r="F27" s="198"/>
      <c r="G27" s="198"/>
      <c r="H27" s="198"/>
      <c r="I27" s="198"/>
      <c r="J27" s="198"/>
      <c r="K27" s="199">
        <v>75000</v>
      </c>
      <c r="L27" s="199">
        <f>K27-22598</f>
        <v>52402</v>
      </c>
      <c r="M27" s="199"/>
      <c r="N27" s="199">
        <f>P27</f>
        <v>5799.63</v>
      </c>
      <c r="O27" s="200">
        <v>0</v>
      </c>
      <c r="P27" s="200">
        <v>5799.63</v>
      </c>
      <c r="Q27" s="199">
        <v>0</v>
      </c>
      <c r="R27" s="199">
        <v>0</v>
      </c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>
        <f t="shared" si="2"/>
        <v>0</v>
      </c>
      <c r="AN27" s="198">
        <f t="shared" si="3"/>
        <v>5799.63</v>
      </c>
      <c r="AO27" s="201">
        <f t="shared" si="7"/>
        <v>5799.63</v>
      </c>
      <c r="AP27" s="201">
        <f>B27-AN27</f>
        <v>0</v>
      </c>
    </row>
    <row r="28" spans="1:43" ht="26.25" hidden="1">
      <c r="A28" s="203" t="s">
        <v>215</v>
      </c>
      <c r="B28" s="198">
        <v>35732171.039999999</v>
      </c>
      <c r="C28" s="198">
        <v>23458410.390000001</v>
      </c>
      <c r="D28" s="198">
        <v>23458410.390000001</v>
      </c>
      <c r="E28" s="198"/>
      <c r="F28" s="198">
        <f>5896019.48-930000</f>
        <v>4966019.4800000004</v>
      </c>
      <c r="G28" s="198"/>
      <c r="H28" s="198">
        <v>4966019.4800000004</v>
      </c>
      <c r="I28" s="198"/>
      <c r="J28" s="198"/>
      <c r="K28" s="199"/>
      <c r="L28" s="199"/>
      <c r="M28" s="198">
        <v>7307741.1699999999</v>
      </c>
      <c r="N28" s="198">
        <v>7307741.1699999999</v>
      </c>
      <c r="O28" s="200"/>
      <c r="P28" s="200"/>
      <c r="Q28" s="198">
        <v>0</v>
      </c>
      <c r="R28" s="198">
        <v>0</v>
      </c>
      <c r="S28" s="198">
        <v>0</v>
      </c>
      <c r="T28" s="198">
        <v>0</v>
      </c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>
        <f t="shared" si="2"/>
        <v>30766151.560000002</v>
      </c>
      <c r="AN28" s="198">
        <f t="shared" si="3"/>
        <v>30766151.560000002</v>
      </c>
      <c r="AO28" s="201">
        <f>AM28-AN28</f>
        <v>0</v>
      </c>
      <c r="AP28" s="201"/>
    </row>
    <row r="29" spans="1:43" ht="26.25" hidden="1">
      <c r="A29" s="203" t="s">
        <v>216</v>
      </c>
      <c r="B29" s="198">
        <v>37899879.369999997</v>
      </c>
      <c r="C29" s="198">
        <f>D29</f>
        <v>5434223.2699999996</v>
      </c>
      <c r="D29" s="198">
        <v>5434223.2699999996</v>
      </c>
      <c r="E29" s="198"/>
      <c r="F29" s="198">
        <f>17971200.58-570000</f>
        <v>17401200.579999998</v>
      </c>
      <c r="G29" s="198"/>
      <c r="H29" s="198">
        <v>17401200.579999998</v>
      </c>
      <c r="I29" s="198"/>
      <c r="J29" s="198"/>
      <c r="K29" s="199"/>
      <c r="L29" s="199"/>
      <c r="M29" s="198">
        <v>12500000</v>
      </c>
      <c r="N29" s="198">
        <v>12500000</v>
      </c>
      <c r="O29" s="200"/>
      <c r="P29" s="200"/>
      <c r="Q29" s="198">
        <v>2564455.52</v>
      </c>
      <c r="R29" s="198">
        <v>2564455.52</v>
      </c>
      <c r="S29" s="198">
        <v>0</v>
      </c>
      <c r="T29" s="198">
        <v>0</v>
      </c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>
        <f t="shared" si="2"/>
        <v>20498678.789999999</v>
      </c>
      <c r="AN29" s="198">
        <f t="shared" si="3"/>
        <v>20498678.789999999</v>
      </c>
      <c r="AO29" s="201">
        <f t="shared" ref="AO29:AO36" si="8">AM29-AN29</f>
        <v>0</v>
      </c>
      <c r="AP29" s="201"/>
    </row>
    <row r="30" spans="1:43" ht="26.25">
      <c r="A30" s="203" t="s">
        <v>217</v>
      </c>
      <c r="B30" s="198">
        <v>44134397.689999998</v>
      </c>
      <c r="C30" s="198">
        <v>6207</v>
      </c>
      <c r="D30" s="198">
        <f>C30</f>
        <v>6207</v>
      </c>
      <c r="E30" s="198"/>
      <c r="F30" s="198">
        <f>5536976.02-5300000</f>
        <v>236976.01999999955</v>
      </c>
      <c r="G30" s="198"/>
      <c r="H30" s="198">
        <v>236976.01999999955</v>
      </c>
      <c r="I30" s="198"/>
      <c r="J30" s="198"/>
      <c r="K30" s="199"/>
      <c r="L30" s="199"/>
      <c r="M30" s="198">
        <v>25900000</v>
      </c>
      <c r="N30" s="198">
        <v>25900000</v>
      </c>
      <c r="O30" s="200"/>
      <c r="P30" s="200"/>
      <c r="Q30" s="198">
        <v>15000000</v>
      </c>
      <c r="R30" s="198">
        <f>15000000-850000</f>
        <v>14150000</v>
      </c>
      <c r="S30" s="198">
        <f>2291214.67+700000</f>
        <v>2991214.67</v>
      </c>
      <c r="T30" s="198">
        <f>S30+850000</f>
        <v>3841214.67</v>
      </c>
      <c r="U30" s="198"/>
      <c r="V30" s="198"/>
      <c r="W30" s="198"/>
      <c r="X30" s="198"/>
      <c r="Y30" s="198"/>
      <c r="Z30" s="198"/>
      <c r="AA30" s="198"/>
      <c r="AB30" s="198"/>
      <c r="AC30" s="198">
        <v>0</v>
      </c>
      <c r="AD30" s="198">
        <v>0</v>
      </c>
      <c r="AE30" s="198"/>
      <c r="AF30" s="198"/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f t="shared" si="2"/>
        <v>43897421.670000002</v>
      </c>
      <c r="AN30" s="198">
        <f t="shared" si="3"/>
        <v>43897421.670000002</v>
      </c>
      <c r="AO30" s="201">
        <f t="shared" si="8"/>
        <v>0</v>
      </c>
      <c r="AP30" s="201"/>
    </row>
    <row r="31" spans="1:43">
      <c r="A31" s="203" t="s">
        <v>218</v>
      </c>
      <c r="B31" s="198">
        <v>52681869</v>
      </c>
      <c r="C31" s="198">
        <v>0</v>
      </c>
      <c r="D31" s="198">
        <v>0</v>
      </c>
      <c r="E31" s="198"/>
      <c r="F31" s="198">
        <v>1850642.16</v>
      </c>
      <c r="G31" s="198"/>
      <c r="H31" s="198">
        <v>1850642.16</v>
      </c>
      <c r="I31" s="198"/>
      <c r="J31" s="198"/>
      <c r="K31" s="199"/>
      <c r="L31" s="199"/>
      <c r="M31" s="198">
        <v>12500000</v>
      </c>
      <c r="N31" s="198">
        <v>12500000</v>
      </c>
      <c r="O31" s="200"/>
      <c r="P31" s="200"/>
      <c r="Q31" s="198">
        <v>20000000</v>
      </c>
      <c r="R31" s="198">
        <v>18400000</v>
      </c>
      <c r="S31" s="198">
        <v>15100000</v>
      </c>
      <c r="T31" s="198">
        <v>15100000</v>
      </c>
      <c r="U31" s="198">
        <v>5130184.29</v>
      </c>
      <c r="V31" s="198">
        <f>5130184.29+2200000</f>
        <v>7330184.29</v>
      </c>
      <c r="W31" s="198"/>
      <c r="X31" s="198"/>
      <c r="Y31" s="198">
        <v>0</v>
      </c>
      <c r="Z31" s="198">
        <v>0</v>
      </c>
      <c r="AA31" s="198"/>
      <c r="AB31" s="198"/>
      <c r="AC31" s="198">
        <v>3231226.84</v>
      </c>
      <c r="AD31" s="198">
        <v>4831226.84</v>
      </c>
      <c r="AE31" s="198"/>
      <c r="AF31" s="198"/>
      <c r="AG31" s="198"/>
      <c r="AH31" s="198"/>
      <c r="AI31" s="198"/>
      <c r="AJ31" s="198"/>
      <c r="AK31" s="198"/>
      <c r="AL31" s="198"/>
      <c r="AM31" s="198">
        <f t="shared" si="2"/>
        <v>50831226.840000004</v>
      </c>
      <c r="AN31" s="198">
        <f t="shared" si="3"/>
        <v>50831226.840000004</v>
      </c>
      <c r="AO31" s="201">
        <f t="shared" si="8"/>
        <v>0</v>
      </c>
      <c r="AP31" s="201"/>
    </row>
    <row r="32" spans="1:43">
      <c r="A32" s="203" t="s">
        <v>256</v>
      </c>
      <c r="B32" s="198">
        <v>64061628</v>
      </c>
      <c r="C32" s="198">
        <v>0</v>
      </c>
      <c r="D32" s="198">
        <v>0</v>
      </c>
      <c r="E32" s="198"/>
      <c r="F32" s="198">
        <v>0</v>
      </c>
      <c r="G32" s="198"/>
      <c r="H32" s="198">
        <v>0</v>
      </c>
      <c r="I32" s="198"/>
      <c r="J32" s="198"/>
      <c r="K32" s="199"/>
      <c r="L32" s="199"/>
      <c r="M32" s="198">
        <v>2154655.6800000002</v>
      </c>
      <c r="N32" s="198">
        <v>2154655.6800000002</v>
      </c>
      <c r="O32" s="200"/>
      <c r="P32" s="200"/>
      <c r="Q32" s="198">
        <v>12500000</v>
      </c>
      <c r="R32" s="198">
        <v>11000000</v>
      </c>
      <c r="S32" s="198">
        <v>17000000</v>
      </c>
      <c r="T32" s="198">
        <v>17000000</v>
      </c>
      <c r="U32" s="198">
        <v>10000000</v>
      </c>
      <c r="V32" s="198">
        <v>10000000</v>
      </c>
      <c r="W32" s="198">
        <v>766494</v>
      </c>
      <c r="X32" s="198">
        <v>1766494</v>
      </c>
      <c r="Y32" s="198">
        <v>0</v>
      </c>
      <c r="Z32" s="198">
        <v>0</v>
      </c>
      <c r="AA32" s="198">
        <v>0</v>
      </c>
      <c r="AB32" s="198">
        <v>0</v>
      </c>
      <c r="AC32" s="198">
        <v>18000000</v>
      </c>
      <c r="AD32" s="198">
        <v>18000000</v>
      </c>
      <c r="AE32" s="198"/>
      <c r="AF32" s="198"/>
      <c r="AG32" s="198">
        <v>14406972.32</v>
      </c>
      <c r="AH32" s="198">
        <v>15906972.32</v>
      </c>
      <c r="AI32" s="198">
        <v>0</v>
      </c>
      <c r="AJ32" s="198">
        <v>0</v>
      </c>
      <c r="AK32" s="198">
        <v>0</v>
      </c>
      <c r="AL32" s="198">
        <v>0</v>
      </c>
      <c r="AM32" s="198">
        <f t="shared" si="2"/>
        <v>64061628</v>
      </c>
      <c r="AN32" s="198">
        <f t="shared" si="3"/>
        <v>64061628</v>
      </c>
      <c r="AO32" s="201">
        <f t="shared" si="8"/>
        <v>0</v>
      </c>
      <c r="AP32" s="201"/>
    </row>
    <row r="33" spans="1:42">
      <c r="A33" s="203" t="s">
        <v>257</v>
      </c>
      <c r="B33" s="198">
        <v>55992764</v>
      </c>
      <c r="C33" s="198"/>
      <c r="D33" s="198"/>
      <c r="E33" s="198"/>
      <c r="F33" s="198"/>
      <c r="G33" s="198"/>
      <c r="H33" s="198"/>
      <c r="I33" s="198"/>
      <c r="J33" s="198"/>
      <c r="K33" s="199"/>
      <c r="L33" s="199"/>
      <c r="M33" s="198"/>
      <c r="N33" s="198"/>
      <c r="O33" s="200"/>
      <c r="P33" s="200"/>
      <c r="Q33" s="198">
        <f>100000+2180763+3371</f>
        <v>2284134</v>
      </c>
      <c r="R33" s="198">
        <f>Q33</f>
        <v>2284134</v>
      </c>
      <c r="S33" s="198">
        <v>5000000</v>
      </c>
      <c r="T33" s="198">
        <v>5000000</v>
      </c>
      <c r="U33" s="198">
        <v>25000000</v>
      </c>
      <c r="V33" s="198">
        <v>25000000</v>
      </c>
      <c r="W33" s="198">
        <v>10000000</v>
      </c>
      <c r="X33" s="198">
        <f>W33</f>
        <v>10000000</v>
      </c>
      <c r="Y33" s="198">
        <v>1215866</v>
      </c>
      <c r="Z33" s="198">
        <v>1215866</v>
      </c>
      <c r="AA33" s="198"/>
      <c r="AB33" s="198"/>
      <c r="AC33" s="198">
        <v>15000000</v>
      </c>
      <c r="AD33" s="198">
        <v>15000000</v>
      </c>
      <c r="AE33" s="198"/>
      <c r="AF33" s="198"/>
      <c r="AG33" s="198">
        <v>18000000</v>
      </c>
      <c r="AH33" s="198">
        <v>18000000</v>
      </c>
      <c r="AI33" s="198">
        <v>15708630</v>
      </c>
      <c r="AJ33" s="198">
        <v>15708630</v>
      </c>
      <c r="AK33" s="198"/>
      <c r="AL33" s="198"/>
      <c r="AM33" s="198">
        <f t="shared" si="2"/>
        <v>55992764</v>
      </c>
      <c r="AN33" s="198">
        <f t="shared" si="3"/>
        <v>55992764</v>
      </c>
      <c r="AO33" s="201">
        <f t="shared" si="8"/>
        <v>0</v>
      </c>
      <c r="AP33" s="201"/>
    </row>
    <row r="34" spans="1:42">
      <c r="A34" s="203" t="s">
        <v>258</v>
      </c>
      <c r="B34" s="233">
        <v>55000000</v>
      </c>
      <c r="C34" s="198"/>
      <c r="D34" s="198"/>
      <c r="E34" s="198"/>
      <c r="F34" s="198"/>
      <c r="G34" s="198"/>
      <c r="H34" s="198"/>
      <c r="I34" s="198"/>
      <c r="J34" s="198"/>
      <c r="K34" s="199"/>
      <c r="L34" s="199"/>
      <c r="M34" s="198"/>
      <c r="N34" s="198"/>
      <c r="O34" s="200"/>
      <c r="P34" s="200"/>
      <c r="Q34" s="198"/>
      <c r="R34" s="198"/>
      <c r="S34" s="198">
        <v>15000000</v>
      </c>
      <c r="T34" s="198">
        <v>2500000</v>
      </c>
      <c r="U34" s="198"/>
      <c r="V34" s="198"/>
      <c r="W34" s="198"/>
      <c r="X34" s="198"/>
      <c r="Y34" s="198"/>
      <c r="Z34" s="198"/>
      <c r="AA34" s="198"/>
      <c r="AB34" s="198"/>
      <c r="AC34" s="198">
        <v>40000000</v>
      </c>
      <c r="AD34" s="198">
        <v>5000000</v>
      </c>
      <c r="AE34" s="198"/>
      <c r="AF34" s="198"/>
      <c r="AG34" s="198">
        <v>0</v>
      </c>
      <c r="AH34" s="198">
        <v>15000000</v>
      </c>
      <c r="AI34" s="198">
        <v>0</v>
      </c>
      <c r="AJ34" s="198">
        <v>18000000</v>
      </c>
      <c r="AK34" s="198">
        <v>0</v>
      </c>
      <c r="AL34" s="198">
        <v>14500000</v>
      </c>
      <c r="AM34" s="198">
        <f t="shared" si="2"/>
        <v>55000000</v>
      </c>
      <c r="AN34" s="198">
        <f t="shared" si="3"/>
        <v>55000000</v>
      </c>
      <c r="AO34" s="201">
        <f t="shared" si="8"/>
        <v>0</v>
      </c>
      <c r="AP34" s="201"/>
    </row>
    <row r="35" spans="1:42" ht="26.25">
      <c r="A35" s="197" t="s">
        <v>219</v>
      </c>
      <c r="B35" s="198">
        <v>244625</v>
      </c>
      <c r="C35" s="198"/>
      <c r="D35" s="198"/>
      <c r="E35" s="198"/>
      <c r="F35" s="198"/>
      <c r="G35" s="198"/>
      <c r="H35" s="198"/>
      <c r="I35" s="198"/>
      <c r="J35" s="198"/>
      <c r="K35" s="199">
        <v>195700</v>
      </c>
      <c r="L35" s="199">
        <v>195700</v>
      </c>
      <c r="M35" s="198">
        <v>195700</v>
      </c>
      <c r="N35" s="198">
        <v>195700</v>
      </c>
      <c r="O35" s="200"/>
      <c r="P35" s="200"/>
      <c r="Q35" s="198">
        <v>48925</v>
      </c>
      <c r="R35" s="198">
        <v>48925</v>
      </c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M35" s="198">
        <f t="shared" si="2"/>
        <v>244625</v>
      </c>
      <c r="AN35" s="198">
        <f t="shared" si="3"/>
        <v>244625</v>
      </c>
      <c r="AO35" s="201">
        <f t="shared" si="8"/>
        <v>0</v>
      </c>
      <c r="AP35" s="201">
        <f>B35-AN35</f>
        <v>0</v>
      </c>
    </row>
    <row r="36" spans="1:42" ht="39">
      <c r="A36" s="197" t="s">
        <v>220</v>
      </c>
      <c r="B36" s="198">
        <v>53106</v>
      </c>
      <c r="C36" s="198"/>
      <c r="D36" s="198"/>
      <c r="E36" s="198"/>
      <c r="F36" s="198"/>
      <c r="G36" s="198"/>
      <c r="H36" s="198"/>
      <c r="I36" s="198"/>
      <c r="J36" s="198"/>
      <c r="K36" s="199">
        <v>52406</v>
      </c>
      <c r="L36" s="199">
        <v>52406</v>
      </c>
      <c r="M36" s="198">
        <v>52406</v>
      </c>
      <c r="N36" s="198">
        <v>52406</v>
      </c>
      <c r="O36" s="200"/>
      <c r="P36" s="200"/>
      <c r="Q36" s="198">
        <v>52406</v>
      </c>
      <c r="R36" s="198">
        <v>52406</v>
      </c>
      <c r="S36" s="198">
        <v>53106</v>
      </c>
      <c r="T36" s="198">
        <v>53106</v>
      </c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>
        <f>S36</f>
        <v>53106</v>
      </c>
      <c r="AN36" s="198">
        <f>T36</f>
        <v>53106</v>
      </c>
      <c r="AO36" s="201">
        <f t="shared" si="8"/>
        <v>0</v>
      </c>
      <c r="AP36" s="201">
        <f>B36-AN36</f>
        <v>0</v>
      </c>
    </row>
    <row r="37" spans="1:42" s="209" customFormat="1">
      <c r="A37" s="204" t="s">
        <v>221</v>
      </c>
      <c r="B37" s="205">
        <f>SUM(B2:B36)</f>
        <v>437374328.39999998</v>
      </c>
      <c r="C37" s="205">
        <f t="shared" ref="C37:AN37" si="9">SUM(C2:C36)</f>
        <v>35247276.730000004</v>
      </c>
      <c r="D37" s="205">
        <f t="shared" si="9"/>
        <v>33912284.480000004</v>
      </c>
      <c r="E37" s="205">
        <f t="shared" si="9"/>
        <v>18460835.609999999</v>
      </c>
      <c r="F37" s="205">
        <f t="shared" si="9"/>
        <v>44733066.030000001</v>
      </c>
      <c r="G37" s="205">
        <f t="shared" si="9"/>
        <v>1384962.88</v>
      </c>
      <c r="H37" s="205">
        <f t="shared" si="9"/>
        <v>40479509.479999989</v>
      </c>
      <c r="I37" s="205">
        <f t="shared" si="9"/>
        <v>5638519.4299999997</v>
      </c>
      <c r="J37" s="205">
        <f t="shared" si="9"/>
        <v>10627069.289999999</v>
      </c>
      <c r="K37" s="206">
        <f t="shared" si="9"/>
        <v>16589545.150000002</v>
      </c>
      <c r="L37" s="206">
        <f>SUM(L2:L36)</f>
        <v>30702336.25</v>
      </c>
      <c r="M37" s="206">
        <f>SUM(M2:M36)</f>
        <v>71845751.280000001</v>
      </c>
      <c r="N37" s="206">
        <f>SUM(N2:N36)</f>
        <v>77950426.620000005</v>
      </c>
      <c r="O37" s="207"/>
      <c r="P37" s="207"/>
      <c r="Q37" s="206">
        <f>SUM(Q2:Q36)</f>
        <v>82278826.730000004</v>
      </c>
      <c r="R37" s="206">
        <f>SUM(R2:R36)-R22-R27</f>
        <v>77893662.719999999</v>
      </c>
      <c r="S37" s="208">
        <f t="shared" si="9"/>
        <v>78636739.25999999</v>
      </c>
      <c r="T37" s="208">
        <f t="shared" si="9"/>
        <v>66785180.350000001</v>
      </c>
      <c r="U37" s="205">
        <f t="shared" si="9"/>
        <v>40130184.289999999</v>
      </c>
      <c r="V37" s="205">
        <f t="shared" si="9"/>
        <v>42330184.289999999</v>
      </c>
      <c r="W37" s="205">
        <f t="shared" si="9"/>
        <v>10766494</v>
      </c>
      <c r="X37" s="205">
        <f t="shared" si="9"/>
        <v>11766494</v>
      </c>
      <c r="Y37" s="205">
        <f t="shared" si="9"/>
        <v>1215866</v>
      </c>
      <c r="Z37" s="205">
        <f t="shared" si="9"/>
        <v>1215866</v>
      </c>
      <c r="AA37" s="205">
        <f t="shared" si="9"/>
        <v>0</v>
      </c>
      <c r="AB37" s="205">
        <f t="shared" si="9"/>
        <v>0</v>
      </c>
      <c r="AC37" s="205">
        <f t="shared" si="9"/>
        <v>80222863.170000002</v>
      </c>
      <c r="AD37" s="205">
        <f t="shared" si="9"/>
        <v>49005117.859999999</v>
      </c>
      <c r="AE37" s="205">
        <f t="shared" si="9"/>
        <v>0</v>
      </c>
      <c r="AF37" s="205">
        <f t="shared" si="9"/>
        <v>0</v>
      </c>
      <c r="AG37" s="205">
        <f t="shared" si="9"/>
        <v>32406972.32</v>
      </c>
      <c r="AH37" s="205">
        <f t="shared" si="9"/>
        <v>48906972.32</v>
      </c>
      <c r="AI37" s="205">
        <f t="shared" si="9"/>
        <v>15708630</v>
      </c>
      <c r="AJ37" s="205">
        <f t="shared" si="9"/>
        <v>33708630</v>
      </c>
      <c r="AK37" s="205">
        <f t="shared" si="9"/>
        <v>0</v>
      </c>
      <c r="AL37" s="205">
        <f t="shared" si="9"/>
        <v>14500000</v>
      </c>
      <c r="AM37" s="205">
        <f t="shared" si="9"/>
        <v>413322708.88</v>
      </c>
      <c r="AN37" s="205">
        <f t="shared" si="9"/>
        <v>411804157.41999996</v>
      </c>
    </row>
    <row r="38" spans="1:42">
      <c r="A38" s="210"/>
      <c r="B38" s="210"/>
      <c r="C38" s="210"/>
      <c r="D38" s="210"/>
      <c r="E38" s="210"/>
      <c r="F38" s="211"/>
      <c r="G38" s="211"/>
      <c r="H38" s="211"/>
      <c r="I38" s="211"/>
      <c r="J38" s="211"/>
      <c r="K38" s="212"/>
      <c r="L38" s="212"/>
      <c r="M38" s="212"/>
      <c r="N38" s="212"/>
      <c r="O38" s="213"/>
      <c r="P38" s="213"/>
      <c r="Q38" s="212"/>
      <c r="R38" s="212"/>
      <c r="S38" s="211"/>
      <c r="T38" s="211"/>
      <c r="U38" s="211"/>
      <c r="V38" s="211"/>
      <c r="W38" s="211"/>
      <c r="X38" s="211"/>
      <c r="Y38" s="211"/>
      <c r="Z38" s="211"/>
    </row>
    <row r="39" spans="1:42">
      <c r="A39" s="210"/>
      <c r="B39" s="210"/>
      <c r="C39" s="211"/>
      <c r="D39" s="210"/>
      <c r="E39" s="210"/>
      <c r="F39" s="211"/>
      <c r="G39" s="211"/>
      <c r="H39" s="211"/>
      <c r="I39" s="211"/>
      <c r="J39" s="211"/>
      <c r="K39" s="212"/>
      <c r="L39" s="212"/>
      <c r="M39" s="212"/>
      <c r="N39" s="212"/>
      <c r="O39" s="213"/>
      <c r="P39" s="213"/>
      <c r="Q39" s="212"/>
      <c r="R39" s="212"/>
      <c r="S39" s="211"/>
      <c r="T39" s="211"/>
      <c r="U39" s="211"/>
      <c r="V39" s="211"/>
      <c r="W39" s="211"/>
      <c r="X39" s="211"/>
      <c r="Y39" s="211"/>
      <c r="Z39" s="211"/>
    </row>
    <row r="40" spans="1:42" ht="15.75">
      <c r="A40" s="210"/>
      <c r="B40" s="210"/>
      <c r="C40" s="210"/>
      <c r="D40" s="210"/>
      <c r="E40" s="210"/>
      <c r="F40" s="211"/>
      <c r="G40" s="211"/>
      <c r="H40" s="211"/>
      <c r="I40" s="211"/>
      <c r="J40" s="211"/>
      <c r="K40" s="212"/>
      <c r="L40" s="212"/>
      <c r="M40" s="212"/>
      <c r="N40" s="212"/>
      <c r="O40" s="213"/>
      <c r="P40" s="213"/>
      <c r="Q40" s="212"/>
      <c r="R40" s="212"/>
      <c r="S40" s="211"/>
      <c r="T40" s="232"/>
      <c r="U40" s="232"/>
      <c r="V40" s="232"/>
      <c r="W40" s="232"/>
      <c r="X40" s="232"/>
      <c r="Y40" s="232"/>
      <c r="Z40" s="232"/>
    </row>
    <row r="41" spans="1:42">
      <c r="A41" s="210"/>
      <c r="B41" s="210"/>
      <c r="C41" s="210"/>
      <c r="D41" s="210"/>
      <c r="E41" s="210"/>
      <c r="F41" s="211"/>
      <c r="G41" s="211"/>
      <c r="H41" s="211"/>
      <c r="I41" s="211"/>
      <c r="J41" s="211"/>
      <c r="K41" s="212"/>
      <c r="L41" s="212"/>
      <c r="M41" s="212"/>
      <c r="N41" s="212"/>
      <c r="O41" s="213"/>
      <c r="P41" s="213"/>
      <c r="Q41" s="212"/>
      <c r="R41" s="212"/>
      <c r="S41" s="211"/>
      <c r="T41" s="211"/>
      <c r="U41" s="211"/>
      <c r="V41" s="201"/>
      <c r="W41" s="201"/>
      <c r="X41" s="201"/>
    </row>
    <row r="42" spans="1:42">
      <c r="A42" s="210"/>
      <c r="B42" s="210"/>
      <c r="C42" s="210"/>
      <c r="D42" s="211"/>
      <c r="E42" s="211"/>
      <c r="F42" s="211"/>
      <c r="G42" s="211"/>
      <c r="H42" s="211"/>
      <c r="I42" s="211"/>
      <c r="J42" s="211"/>
      <c r="K42" s="212"/>
      <c r="L42" s="212"/>
      <c r="M42" s="212"/>
      <c r="N42" s="212"/>
      <c r="O42" s="213"/>
      <c r="P42" s="213"/>
      <c r="Q42" s="212"/>
      <c r="R42" s="212"/>
      <c r="S42" s="211"/>
      <c r="T42" s="211"/>
      <c r="U42" s="211"/>
      <c r="V42" s="201"/>
      <c r="W42" s="201"/>
      <c r="X42" s="201"/>
    </row>
    <row r="43" spans="1:42" ht="15.75">
      <c r="A43" s="210"/>
      <c r="B43" s="210"/>
      <c r="C43" s="210"/>
      <c r="D43" s="210"/>
      <c r="E43" s="210"/>
      <c r="F43" s="211"/>
      <c r="G43" s="211"/>
      <c r="H43" s="211"/>
      <c r="I43" s="211"/>
      <c r="J43" s="211"/>
      <c r="K43" s="212"/>
      <c r="L43" s="212"/>
      <c r="M43" s="212"/>
      <c r="N43" s="212"/>
      <c r="O43" s="213"/>
      <c r="P43" s="213"/>
      <c r="Q43" s="212"/>
      <c r="R43" s="212"/>
      <c r="S43" s="211"/>
      <c r="T43" s="211"/>
      <c r="U43" s="211"/>
      <c r="V43" s="201"/>
      <c r="W43" s="201"/>
      <c r="X43" s="201"/>
      <c r="Y43" s="214" t="s">
        <v>222</v>
      </c>
      <c r="Z43" s="214"/>
    </row>
    <row r="44" spans="1:42">
      <c r="A44" s="210"/>
      <c r="B44" s="210"/>
      <c r="C44" s="210"/>
      <c r="D44" s="210"/>
      <c r="E44" s="210"/>
      <c r="F44" s="211"/>
      <c r="G44" s="211"/>
      <c r="H44" s="211"/>
      <c r="I44" s="211"/>
      <c r="J44" s="211"/>
      <c r="K44" s="212"/>
      <c r="L44" s="212"/>
      <c r="M44" s="212"/>
      <c r="N44" s="212"/>
      <c r="O44" s="213"/>
      <c r="P44" s="213"/>
      <c r="Q44" s="212"/>
      <c r="R44" s="212"/>
      <c r="S44" s="211"/>
      <c r="T44" s="211"/>
      <c r="U44" s="211"/>
      <c r="V44" s="211"/>
      <c r="W44" s="211"/>
      <c r="X44" s="211"/>
      <c r="Y44" s="211"/>
      <c r="Z44" s="211"/>
    </row>
    <row r="50" spans="1:26">
      <c r="A50" s="210"/>
      <c r="B50" s="210"/>
      <c r="C50" s="210"/>
      <c r="D50" s="210"/>
      <c r="E50" s="210"/>
      <c r="F50" s="211"/>
      <c r="G50" s="211"/>
      <c r="H50" s="211"/>
      <c r="I50" s="211"/>
      <c r="J50" s="211"/>
      <c r="K50" s="212"/>
      <c r="L50" s="212"/>
      <c r="M50" s="212"/>
      <c r="N50" s="212"/>
      <c r="O50" s="213"/>
      <c r="P50" s="213"/>
      <c r="Q50" s="212"/>
      <c r="R50" s="212"/>
      <c r="S50" s="211"/>
      <c r="T50" s="211"/>
      <c r="U50" s="211"/>
      <c r="V50" s="211"/>
      <c r="W50" s="211"/>
      <c r="X50" s="211"/>
      <c r="Y50" s="211"/>
      <c r="Z50" s="211"/>
    </row>
    <row r="51" spans="1:26">
      <c r="A51" s="210"/>
      <c r="B51" s="210"/>
      <c r="C51" s="210"/>
      <c r="D51" s="210"/>
      <c r="E51" s="210"/>
      <c r="F51" s="211"/>
      <c r="G51" s="211"/>
      <c r="H51" s="211"/>
      <c r="I51" s="211"/>
      <c r="J51" s="211"/>
      <c r="K51" s="212"/>
      <c r="L51" s="212"/>
      <c r="M51" s="212"/>
      <c r="N51" s="212"/>
      <c r="O51" s="213"/>
      <c r="P51" s="213"/>
      <c r="Q51" s="212"/>
      <c r="R51" s="212"/>
      <c r="S51" s="211"/>
      <c r="T51" s="211"/>
      <c r="U51" s="211"/>
      <c r="V51" s="211"/>
      <c r="W51" s="211"/>
      <c r="X51" s="211"/>
      <c r="Y51" s="211"/>
      <c r="Z51" s="211"/>
    </row>
    <row r="52" spans="1:26">
      <c r="A52" s="210"/>
      <c r="B52" s="210"/>
      <c r="C52" s="210"/>
      <c r="D52" s="210"/>
      <c r="E52" s="210"/>
      <c r="F52" s="211"/>
      <c r="G52" s="211"/>
      <c r="H52" s="201"/>
      <c r="I52" s="201"/>
      <c r="J52" s="201"/>
      <c r="K52" s="212"/>
      <c r="L52" s="212"/>
      <c r="M52" s="212"/>
      <c r="N52" s="212"/>
      <c r="O52" s="213"/>
      <c r="P52" s="213"/>
      <c r="Q52" s="212"/>
      <c r="R52" s="212"/>
      <c r="S52" s="211"/>
      <c r="T52" s="211"/>
      <c r="U52" s="211"/>
      <c r="V52" s="211"/>
      <c r="W52" s="211"/>
      <c r="X52" s="211"/>
      <c r="Y52" s="211"/>
      <c r="Z52" s="211"/>
    </row>
    <row r="53" spans="1:26">
      <c r="F53" s="201"/>
      <c r="G53" s="201"/>
      <c r="H53" s="201"/>
      <c r="I53" s="201"/>
      <c r="J53" s="201"/>
      <c r="K53" s="215"/>
      <c r="L53" s="215"/>
      <c r="M53" s="215"/>
      <c r="N53" s="215"/>
      <c r="O53" s="216"/>
      <c r="P53" s="216"/>
      <c r="Q53" s="215"/>
      <c r="R53" s="215"/>
      <c r="S53" s="201"/>
      <c r="T53" s="201"/>
      <c r="U53" s="201"/>
      <c r="V53" s="201"/>
      <c r="W53" s="201"/>
      <c r="X53" s="201"/>
      <c r="Y53" s="201"/>
      <c r="Z53" s="201"/>
    </row>
    <row r="54" spans="1:26">
      <c r="F54" s="201"/>
      <c r="G54" s="201"/>
      <c r="H54" s="201"/>
      <c r="I54" s="201"/>
      <c r="J54" s="201"/>
      <c r="K54" s="215"/>
      <c r="L54" s="215"/>
      <c r="M54" s="215"/>
      <c r="N54" s="215"/>
      <c r="O54" s="216"/>
      <c r="P54" s="216"/>
      <c r="Q54" s="215"/>
      <c r="R54" s="215"/>
      <c r="S54" s="201"/>
      <c r="T54" s="201"/>
      <c r="U54" s="201"/>
      <c r="V54" s="201"/>
      <c r="W54" s="201"/>
      <c r="X54" s="201"/>
      <c r="Y54" s="201"/>
      <c r="Z54" s="201"/>
    </row>
    <row r="55" spans="1:26">
      <c r="F55" s="201"/>
      <c r="G55" s="201"/>
      <c r="H55" s="201"/>
      <c r="I55" s="201"/>
      <c r="J55" s="201"/>
      <c r="K55" s="215"/>
      <c r="L55" s="215"/>
      <c r="M55" s="215"/>
      <c r="N55" s="215"/>
      <c r="O55" s="216"/>
      <c r="P55" s="216"/>
      <c r="Q55" s="215"/>
      <c r="R55" s="215"/>
      <c r="S55" s="201"/>
      <c r="T55" s="201"/>
      <c r="U55" s="201"/>
      <c r="V55" s="201"/>
      <c r="W55" s="201"/>
      <c r="X55" s="201"/>
      <c r="Y55" s="201"/>
      <c r="Z55" s="201"/>
    </row>
    <row r="56" spans="1:26">
      <c r="F56" s="201"/>
      <c r="G56" s="201"/>
      <c r="K56" s="215"/>
      <c r="L56" s="215"/>
      <c r="M56" s="215"/>
      <c r="N56" s="215"/>
      <c r="O56" s="216"/>
      <c r="P56" s="216"/>
      <c r="Q56" s="215"/>
      <c r="R56" s="215"/>
      <c r="S56" s="201"/>
      <c r="T56" s="201"/>
      <c r="U56" s="201"/>
      <c r="V56" s="201"/>
      <c r="W56" s="201"/>
      <c r="X56" s="201"/>
      <c r="Y56" s="201"/>
      <c r="Z56" s="201"/>
    </row>
  </sheetData>
  <mergeCells count="1">
    <mergeCell ref="T40:Z40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47"/>
  <sheetViews>
    <sheetView topLeftCell="A1048576" workbookViewId="0">
      <selection sqref="A1:XFD1048576"/>
    </sheetView>
  </sheetViews>
  <sheetFormatPr defaultColWidth="8.28515625" defaultRowHeight="15" zeroHeight="1"/>
  <cols>
    <col min="1" max="1" width="20.7109375" style="225" customWidth="1"/>
    <col min="2" max="2" width="11.7109375" style="202" bestFit="1" customWidth="1"/>
    <col min="3" max="3" width="9.140625" style="202" bestFit="1" customWidth="1"/>
    <col min="4" max="4" width="0" style="202" hidden="1" customWidth="1"/>
    <col min="5" max="5" width="8.28515625" style="202"/>
    <col min="6" max="6" width="0" style="202" hidden="1" customWidth="1"/>
    <col min="7" max="7" width="9.140625" style="202" bestFit="1" customWidth="1"/>
    <col min="8" max="8" width="10.140625" style="202" bestFit="1" customWidth="1"/>
    <col min="9" max="9" width="0" style="202" hidden="1" customWidth="1"/>
    <col min="10" max="10" width="8.28515625" style="202"/>
    <col min="11" max="11" width="9.140625" style="202" bestFit="1" customWidth="1"/>
    <col min="12" max="12" width="11.85546875" style="202" bestFit="1" customWidth="1"/>
    <col min="13" max="13" width="0" style="202" hidden="1" customWidth="1"/>
    <col min="14" max="14" width="10.140625" style="202" bestFit="1" customWidth="1"/>
    <col min="15" max="15" width="8.28515625" style="202" hidden="1" customWidth="1"/>
    <col min="16" max="17" width="10.140625" style="202" bestFit="1" customWidth="1"/>
    <col min="18" max="18" width="0" style="202" hidden="1" customWidth="1"/>
    <col min="19" max="19" width="9.140625" style="202" bestFit="1" customWidth="1"/>
    <col min="20" max="20" width="0" style="202" hidden="1" customWidth="1"/>
    <col min="21" max="21" width="12.7109375" style="202" bestFit="1" customWidth="1"/>
    <col min="22" max="22" width="0" style="202" hidden="1" customWidth="1"/>
    <col min="23" max="23" width="12.7109375" style="202" bestFit="1" customWidth="1"/>
    <col min="24" max="24" width="9.140625" style="202" bestFit="1" customWidth="1"/>
    <col min="25" max="25" width="11.7109375" style="202" bestFit="1" customWidth="1"/>
    <col min="26" max="26" width="10.140625" style="202" bestFit="1" customWidth="1"/>
    <col min="27" max="27" width="12.7109375" style="202" bestFit="1" customWidth="1"/>
    <col min="28" max="29" width="10.140625" style="202" bestFit="1" customWidth="1"/>
    <col min="30" max="30" width="10.140625" style="202" customWidth="1"/>
    <col min="31" max="31" width="9.140625" style="202" bestFit="1" customWidth="1"/>
    <col min="32" max="32" width="11.7109375" style="202" bestFit="1" customWidth="1"/>
    <col min="33" max="33" width="12.7109375" style="202" bestFit="1" customWidth="1"/>
    <col min="34" max="34" width="0" style="202" hidden="1" customWidth="1"/>
    <col min="35" max="35" width="12.7109375" style="202" bestFit="1" customWidth="1"/>
    <col min="36" max="36" width="13.5703125" style="202" bestFit="1" customWidth="1"/>
    <col min="37" max="37" width="12.42578125" style="202" bestFit="1" customWidth="1"/>
    <col min="38" max="41" width="8.28515625" style="202"/>
    <col min="42" max="16384" width="8.28515625" style="225"/>
  </cols>
  <sheetData>
    <row r="1" spans="1:41" s="220" customFormat="1" ht="90" hidden="1">
      <c r="A1" s="219" t="s">
        <v>223</v>
      </c>
      <c r="B1" s="226">
        <v>11</v>
      </c>
      <c r="C1" s="226">
        <v>14</v>
      </c>
      <c r="D1" s="226" t="s">
        <v>224</v>
      </c>
      <c r="E1" s="226">
        <v>16</v>
      </c>
      <c r="F1" s="226" t="s">
        <v>225</v>
      </c>
      <c r="G1" s="226" t="s">
        <v>226</v>
      </c>
      <c r="H1" s="226" t="s">
        <v>227</v>
      </c>
      <c r="I1" s="226" t="s">
        <v>228</v>
      </c>
      <c r="J1" s="226" t="s">
        <v>229</v>
      </c>
      <c r="K1" s="226" t="s">
        <v>230</v>
      </c>
      <c r="L1" s="226">
        <v>61</v>
      </c>
      <c r="M1" s="226" t="s">
        <v>231</v>
      </c>
      <c r="N1" s="226">
        <v>62</v>
      </c>
      <c r="O1" s="226" t="s">
        <v>232</v>
      </c>
      <c r="P1" s="226">
        <v>63</v>
      </c>
      <c r="Q1" s="226">
        <v>64</v>
      </c>
      <c r="R1" s="226" t="s">
        <v>233</v>
      </c>
      <c r="S1" s="226">
        <v>65</v>
      </c>
      <c r="T1" s="226">
        <v>66</v>
      </c>
      <c r="U1" s="226">
        <v>67</v>
      </c>
      <c r="V1" s="226" t="s">
        <v>234</v>
      </c>
      <c r="W1" s="226" t="s">
        <v>235</v>
      </c>
      <c r="X1" s="226" t="s">
        <v>236</v>
      </c>
      <c r="Y1" s="226" t="s">
        <v>237</v>
      </c>
      <c r="Z1" s="226">
        <v>74</v>
      </c>
      <c r="AA1" s="226" t="s">
        <v>238</v>
      </c>
      <c r="AB1" s="226" t="s">
        <v>239</v>
      </c>
      <c r="AC1" s="226" t="s">
        <v>240</v>
      </c>
      <c r="AD1" s="226" t="s">
        <v>241</v>
      </c>
      <c r="AE1" s="226" t="s">
        <v>242</v>
      </c>
      <c r="AF1" s="226" t="s">
        <v>243</v>
      </c>
      <c r="AG1" s="226">
        <v>43</v>
      </c>
      <c r="AH1" s="226" t="s">
        <v>244</v>
      </c>
      <c r="AI1" s="226" t="s">
        <v>245</v>
      </c>
      <c r="AJ1" s="226" t="s">
        <v>246</v>
      </c>
      <c r="AK1" s="224" t="s">
        <v>247</v>
      </c>
      <c r="AL1" s="224"/>
      <c r="AM1" s="224"/>
      <c r="AN1" s="224"/>
      <c r="AO1" s="224"/>
    </row>
    <row r="2" spans="1:41" ht="51.75" hidden="1">
      <c r="A2" s="221" t="s">
        <v>191</v>
      </c>
      <c r="B2" s="201">
        <v>1071400</v>
      </c>
      <c r="C2" s="201"/>
      <c r="D2" s="201"/>
      <c r="E2" s="201"/>
      <c r="F2" s="201"/>
      <c r="G2" s="201"/>
      <c r="H2" s="201">
        <v>2000</v>
      </c>
      <c r="I2" s="201"/>
      <c r="J2" s="201"/>
      <c r="K2" s="201"/>
      <c r="L2" s="201">
        <v>60000</v>
      </c>
      <c r="M2" s="201"/>
      <c r="N2" s="201">
        <v>15000</v>
      </c>
      <c r="O2" s="201"/>
      <c r="P2" s="201">
        <v>130000</v>
      </c>
      <c r="Q2" s="201">
        <v>9200</v>
      </c>
      <c r="R2" s="201"/>
      <c r="S2" s="201">
        <v>100</v>
      </c>
      <c r="U2" s="201">
        <v>148000</v>
      </c>
      <c r="V2" s="201"/>
      <c r="W2" s="201">
        <v>9000</v>
      </c>
      <c r="X2" s="201"/>
      <c r="Y2" s="201">
        <v>1375000</v>
      </c>
      <c r="Z2" s="201"/>
      <c r="AA2" s="201"/>
      <c r="AB2" s="201">
        <v>9000</v>
      </c>
      <c r="AC2" s="201">
        <v>60000</v>
      </c>
      <c r="AD2" s="201">
        <v>700</v>
      </c>
      <c r="AE2" s="201"/>
      <c r="AF2" s="201"/>
      <c r="AG2" s="201"/>
      <c r="AH2" s="201"/>
      <c r="AI2" s="234">
        <f>Y2+AB2+AC2+Z2+AE2+AG2+AF2+AD2</f>
        <v>1444700</v>
      </c>
      <c r="AJ2" s="201">
        <f t="shared" ref="AJ2:AJ7" si="0">SUM(B2:W2)</f>
        <v>1444700</v>
      </c>
      <c r="AK2" s="201">
        <f>AI2-AJ2</f>
        <v>0</v>
      </c>
    </row>
    <row r="3" spans="1:41" ht="51.75" hidden="1">
      <c r="A3" s="221" t="s">
        <v>192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>
        <v>1000</v>
      </c>
      <c r="M3" s="201"/>
      <c r="N3" s="201">
        <v>20000</v>
      </c>
      <c r="O3" s="201"/>
      <c r="P3" s="201"/>
      <c r="Q3" s="201">
        <v>3000</v>
      </c>
      <c r="R3" s="201"/>
      <c r="S3" s="201">
        <v>100</v>
      </c>
      <c r="U3" s="201">
        <v>1673.6</v>
      </c>
      <c r="V3" s="201"/>
      <c r="W3" s="201"/>
      <c r="X3" s="201"/>
      <c r="Y3" s="201"/>
      <c r="Z3" s="201"/>
      <c r="AA3" s="201"/>
      <c r="AB3" s="201">
        <v>13473.6</v>
      </c>
      <c r="AC3" s="201">
        <v>2300</v>
      </c>
      <c r="AD3" s="201"/>
      <c r="AE3" s="201"/>
      <c r="AF3" s="201">
        <v>10000</v>
      </c>
      <c r="AG3" s="201"/>
      <c r="AH3" s="201"/>
      <c r="AI3" s="234">
        <f t="shared" ref="AI3:AI37" si="1">Y3+AB3+AC3+Z3+AE3+AG3+AF3+AD3</f>
        <v>25773.599999999999</v>
      </c>
      <c r="AJ3" s="201">
        <f t="shared" si="0"/>
        <v>25773.599999999999</v>
      </c>
      <c r="AK3" s="201">
        <f t="shared" ref="AK3:AK37" si="2">AI3-AJ3</f>
        <v>0</v>
      </c>
    </row>
    <row r="4" spans="1:41" ht="77.25" hidden="1">
      <c r="A4" s="221" t="s">
        <v>193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>
        <v>1000</v>
      </c>
      <c r="O4" s="201"/>
      <c r="P4" s="201"/>
      <c r="Q4" s="201">
        <v>3000</v>
      </c>
      <c r="R4" s="201"/>
      <c r="S4" s="201">
        <v>100</v>
      </c>
      <c r="U4" s="201">
        <v>12818.4</v>
      </c>
      <c r="V4" s="201"/>
      <c r="W4" s="201"/>
      <c r="X4" s="201"/>
      <c r="Y4" s="201"/>
      <c r="Z4" s="201"/>
      <c r="AA4" s="201"/>
      <c r="AB4" s="201">
        <v>14918.4</v>
      </c>
      <c r="AC4" s="201">
        <v>2000</v>
      </c>
      <c r="AD4" s="201"/>
      <c r="AE4" s="201"/>
      <c r="AF4" s="201"/>
      <c r="AG4" s="201"/>
      <c r="AH4" s="201"/>
      <c r="AI4" s="234">
        <f t="shared" si="1"/>
        <v>16918.400000000001</v>
      </c>
      <c r="AJ4" s="201">
        <f t="shared" si="0"/>
        <v>16918.400000000001</v>
      </c>
      <c r="AK4" s="201">
        <f t="shared" si="2"/>
        <v>0</v>
      </c>
    </row>
    <row r="5" spans="1:41" ht="64.5" hidden="1">
      <c r="A5" s="221" t="s">
        <v>194</v>
      </c>
      <c r="B5" s="201"/>
      <c r="C5" s="201"/>
      <c r="D5" s="201"/>
      <c r="E5" s="201"/>
      <c r="F5" s="201"/>
      <c r="G5" s="201"/>
      <c r="H5" s="201">
        <v>2000</v>
      </c>
      <c r="I5" s="201"/>
      <c r="J5" s="201"/>
      <c r="K5" s="201"/>
      <c r="L5" s="201">
        <v>5000</v>
      </c>
      <c r="M5" s="201"/>
      <c r="N5" s="201">
        <v>5000</v>
      </c>
      <c r="O5" s="201"/>
      <c r="P5" s="201">
        <v>7000</v>
      </c>
      <c r="Q5" s="201">
        <v>4500</v>
      </c>
      <c r="R5" s="201"/>
      <c r="S5" s="201">
        <v>100</v>
      </c>
      <c r="U5" s="201">
        <v>46560</v>
      </c>
      <c r="V5" s="201"/>
      <c r="W5" s="201"/>
      <c r="X5" s="201"/>
      <c r="Y5" s="201"/>
      <c r="Z5" s="201"/>
      <c r="AA5" s="201"/>
      <c r="AB5" s="201">
        <v>62160</v>
      </c>
      <c r="AC5" s="201">
        <v>8000</v>
      </c>
      <c r="AD5" s="201"/>
      <c r="AE5" s="201"/>
      <c r="AF5" s="201"/>
      <c r="AG5" s="201"/>
      <c r="AH5" s="201"/>
      <c r="AI5" s="234">
        <f t="shared" si="1"/>
        <v>70160</v>
      </c>
      <c r="AJ5" s="201">
        <f t="shared" si="0"/>
        <v>70160</v>
      </c>
      <c r="AK5" s="201">
        <f t="shared" si="2"/>
        <v>0</v>
      </c>
    </row>
    <row r="6" spans="1:41" ht="77.25" hidden="1">
      <c r="A6" s="221" t="s">
        <v>195</v>
      </c>
      <c r="B6" s="201"/>
      <c r="C6" s="201"/>
      <c r="D6" s="201"/>
      <c r="E6" s="201"/>
      <c r="F6" s="201"/>
      <c r="G6" s="201"/>
      <c r="H6" s="201">
        <v>500</v>
      </c>
      <c r="I6" s="201"/>
      <c r="J6" s="201"/>
      <c r="K6" s="201"/>
      <c r="L6" s="201">
        <v>2500</v>
      </c>
      <c r="M6" s="201"/>
      <c r="N6" s="201">
        <v>5000</v>
      </c>
      <c r="O6" s="201"/>
      <c r="P6" s="201">
        <v>3500</v>
      </c>
      <c r="Q6" s="201">
        <v>3000</v>
      </c>
      <c r="R6" s="201"/>
      <c r="S6" s="201">
        <v>100</v>
      </c>
      <c r="U6" s="201">
        <v>5518.24</v>
      </c>
      <c r="V6" s="201"/>
      <c r="W6" s="201"/>
      <c r="X6" s="201"/>
      <c r="Y6" s="201"/>
      <c r="Z6" s="201"/>
      <c r="AA6" s="201"/>
      <c r="AB6" s="201">
        <v>12318.24</v>
      </c>
      <c r="AC6" s="201">
        <v>600</v>
      </c>
      <c r="AD6" s="201"/>
      <c r="AE6" s="201"/>
      <c r="AF6" s="201">
        <v>7200</v>
      </c>
      <c r="AG6" s="201"/>
      <c r="AH6" s="201"/>
      <c r="AI6" s="234">
        <f t="shared" si="1"/>
        <v>20118.239999999998</v>
      </c>
      <c r="AJ6" s="201">
        <f t="shared" si="0"/>
        <v>20118.239999999998</v>
      </c>
      <c r="AK6" s="201">
        <f t="shared" si="2"/>
        <v>0</v>
      </c>
    </row>
    <row r="7" spans="1:41" ht="77.25" hidden="1">
      <c r="A7" s="221" t="s">
        <v>196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>
        <v>2000</v>
      </c>
      <c r="O7" s="201"/>
      <c r="P7" s="201">
        <v>0</v>
      </c>
      <c r="Q7" s="201"/>
      <c r="R7" s="201"/>
      <c r="S7" s="201">
        <v>100</v>
      </c>
      <c r="U7" s="201">
        <v>7700</v>
      </c>
      <c r="V7" s="201"/>
      <c r="W7" s="201"/>
      <c r="X7" s="201"/>
      <c r="Y7" s="201"/>
      <c r="Z7" s="201"/>
      <c r="AA7" s="201"/>
      <c r="AB7" s="201">
        <v>8400</v>
      </c>
      <c r="AC7" s="201">
        <v>1400</v>
      </c>
      <c r="AD7" s="201"/>
      <c r="AE7" s="201"/>
      <c r="AF7" s="201"/>
      <c r="AG7" s="201"/>
      <c r="AH7" s="201"/>
      <c r="AI7" s="234">
        <f t="shared" si="1"/>
        <v>9800</v>
      </c>
      <c r="AJ7" s="201">
        <f t="shared" si="0"/>
        <v>9800</v>
      </c>
      <c r="AK7" s="201">
        <f t="shared" si="2"/>
        <v>0</v>
      </c>
    </row>
    <row r="8" spans="1:41" ht="39" hidden="1">
      <c r="A8" s="221" t="s">
        <v>197</v>
      </c>
      <c r="B8" s="201"/>
      <c r="C8" s="201"/>
      <c r="D8" s="201"/>
      <c r="E8" s="201"/>
      <c r="F8" s="201"/>
      <c r="G8" s="201">
        <v>50000</v>
      </c>
      <c r="H8" s="201">
        <v>2000</v>
      </c>
      <c r="I8" s="201"/>
      <c r="J8" s="201"/>
      <c r="K8" s="201"/>
      <c r="L8" s="201">
        <v>1000</v>
      </c>
      <c r="M8" s="201"/>
      <c r="N8" s="201"/>
      <c r="O8" s="201"/>
      <c r="P8" s="201"/>
      <c r="Q8" s="201"/>
      <c r="R8" s="201"/>
      <c r="S8" s="201">
        <v>100</v>
      </c>
      <c r="U8" s="201">
        <f>117900-50000</f>
        <v>67900</v>
      </c>
      <c r="V8" s="201"/>
      <c r="W8" s="201"/>
      <c r="X8" s="201"/>
      <c r="Y8" s="201"/>
      <c r="Z8" s="201"/>
      <c r="AA8" s="201"/>
      <c r="AB8" s="201"/>
      <c r="AC8" s="201">
        <v>1000</v>
      </c>
      <c r="AD8" s="201">
        <v>10000</v>
      </c>
      <c r="AE8" s="201">
        <v>50000</v>
      </c>
      <c r="AF8" s="201">
        <v>60000</v>
      </c>
      <c r="AG8" s="201"/>
      <c r="AH8" s="201"/>
      <c r="AI8" s="234">
        <f t="shared" si="1"/>
        <v>121000</v>
      </c>
      <c r="AJ8" s="201">
        <f>SUM(B8:W8)</f>
        <v>121000</v>
      </c>
      <c r="AK8" s="201">
        <f t="shared" si="2"/>
        <v>0</v>
      </c>
    </row>
    <row r="9" spans="1:41" ht="26.25" hidden="1">
      <c r="A9" s="197" t="s">
        <v>198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>
        <v>3300000</v>
      </c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>
        <v>3382378.91</v>
      </c>
      <c r="AH9" s="201"/>
      <c r="AI9" s="201">
        <f t="shared" ref="AI9:AI29" si="3">Y9+AB9+AC9+Z9+AE9+AG9+AF9+AD9</f>
        <v>3382378.91</v>
      </c>
      <c r="AJ9" s="201">
        <f t="shared" ref="AJ9:AJ15" si="4">SUM(C9:W9)</f>
        <v>3300000</v>
      </c>
      <c r="AK9" s="201">
        <f t="shared" si="2"/>
        <v>82378.910000000149</v>
      </c>
    </row>
    <row r="10" spans="1:41" ht="26.25" hidden="1">
      <c r="A10" s="197" t="s">
        <v>199</v>
      </c>
      <c r="C10" s="201"/>
      <c r="D10" s="201"/>
      <c r="E10" s="201"/>
      <c r="F10" s="201"/>
      <c r="G10" s="201"/>
      <c r="H10" s="201">
        <v>40000</v>
      </c>
      <c r="I10" s="201"/>
      <c r="J10" s="201"/>
      <c r="K10" s="201"/>
      <c r="L10" s="201">
        <v>55529.440000000002</v>
      </c>
      <c r="M10" s="201"/>
      <c r="N10" s="201"/>
      <c r="O10" s="201"/>
      <c r="P10" s="201"/>
      <c r="Q10" s="201">
        <v>5000</v>
      </c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>
        <v>100529.44</v>
      </c>
      <c r="AH10" s="201"/>
      <c r="AI10" s="201">
        <f t="shared" si="3"/>
        <v>100529.44</v>
      </c>
      <c r="AJ10" s="201">
        <f t="shared" si="4"/>
        <v>100529.44</v>
      </c>
      <c r="AK10" s="201">
        <f t="shared" si="2"/>
        <v>0</v>
      </c>
    </row>
    <row r="11" spans="1:41" s="222" customFormat="1" hidden="1">
      <c r="A11" s="222">
        <v>5001552</v>
      </c>
      <c r="B11" s="202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>
        <f t="shared" si="3"/>
        <v>0</v>
      </c>
      <c r="AJ11" s="201">
        <f t="shared" si="4"/>
        <v>0</v>
      </c>
      <c r="AK11" s="201">
        <f t="shared" si="2"/>
        <v>0</v>
      </c>
      <c r="AL11" s="202"/>
      <c r="AM11" s="202"/>
      <c r="AN11" s="202"/>
      <c r="AO11" s="202"/>
    </row>
    <row r="12" spans="1:41" s="222" customFormat="1" ht="30" hidden="1">
      <c r="A12" s="223" t="s">
        <v>248</v>
      </c>
      <c r="B12" s="20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>
        <f t="shared" si="3"/>
        <v>0</v>
      </c>
      <c r="AJ12" s="201">
        <f t="shared" si="4"/>
        <v>0</v>
      </c>
      <c r="AK12" s="201">
        <f t="shared" si="2"/>
        <v>0</v>
      </c>
      <c r="AL12" s="202"/>
      <c r="AM12" s="202"/>
      <c r="AN12" s="202"/>
      <c r="AO12" s="202"/>
    </row>
    <row r="13" spans="1:41" ht="30" hidden="1">
      <c r="A13" s="224" t="s">
        <v>249</v>
      </c>
      <c r="C13" s="201"/>
      <c r="D13" s="201"/>
      <c r="E13" s="201"/>
      <c r="F13" s="201"/>
      <c r="G13" s="201"/>
      <c r="H13" s="201">
        <v>54000</v>
      </c>
      <c r="I13" s="201"/>
      <c r="J13" s="201"/>
      <c r="K13" s="201"/>
      <c r="L13" s="201">
        <v>140000</v>
      </c>
      <c r="M13" s="201"/>
      <c r="N13" s="201"/>
      <c r="O13" s="201"/>
      <c r="P13" s="201"/>
      <c r="Q13" s="201">
        <v>96000</v>
      </c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>
        <v>290000</v>
      </c>
      <c r="AH13" s="201"/>
      <c r="AI13" s="201">
        <f t="shared" si="3"/>
        <v>290000</v>
      </c>
      <c r="AJ13" s="201">
        <f t="shared" si="4"/>
        <v>290000</v>
      </c>
      <c r="AK13" s="201">
        <f t="shared" si="2"/>
        <v>0</v>
      </c>
    </row>
    <row r="14" spans="1:41" hidden="1">
      <c r="A14" s="225" t="s">
        <v>250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>
        <f t="shared" si="3"/>
        <v>0</v>
      </c>
      <c r="AJ14" s="201">
        <f t="shared" si="4"/>
        <v>0</v>
      </c>
      <c r="AK14" s="201">
        <f t="shared" si="2"/>
        <v>0</v>
      </c>
    </row>
    <row r="15" spans="1:41" ht="30" hidden="1">
      <c r="A15" s="220" t="s">
        <v>251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>
        <v>150000</v>
      </c>
      <c r="V15" s="201"/>
      <c r="W15" s="201"/>
      <c r="X15" s="201"/>
      <c r="Y15" s="201"/>
      <c r="Z15" s="201">
        <v>150000</v>
      </c>
      <c r="AA15" s="201"/>
      <c r="AB15" s="201"/>
      <c r="AC15" s="201"/>
      <c r="AD15" s="201"/>
      <c r="AE15" s="201"/>
      <c r="AF15" s="201"/>
      <c r="AG15" s="201"/>
      <c r="AH15" s="201"/>
      <c r="AI15" s="234">
        <f t="shared" si="3"/>
        <v>150000</v>
      </c>
      <c r="AJ15" s="201">
        <f t="shared" si="4"/>
        <v>150000</v>
      </c>
      <c r="AK15" s="201">
        <f t="shared" si="2"/>
        <v>0</v>
      </c>
    </row>
    <row r="16" spans="1:41" s="202" customFormat="1" hidden="1">
      <c r="A16" s="197" t="s">
        <v>209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>
        <v>16000</v>
      </c>
      <c r="AD16" s="201"/>
      <c r="AE16" s="201"/>
      <c r="AF16" s="201"/>
      <c r="AG16" s="201"/>
      <c r="AH16" s="201"/>
      <c r="AI16" s="201">
        <f t="shared" si="3"/>
        <v>16000</v>
      </c>
      <c r="AJ16" s="201">
        <f>SUM(B16:W16)</f>
        <v>0</v>
      </c>
      <c r="AK16" s="201">
        <f t="shared" si="2"/>
        <v>16000</v>
      </c>
    </row>
    <row r="17" spans="1:37" s="202" customFormat="1" ht="39" hidden="1">
      <c r="A17" s="197" t="s">
        <v>210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>
        <f t="shared" si="3"/>
        <v>0</v>
      </c>
      <c r="AJ17" s="201">
        <f>SUM(B17:W17)</f>
        <v>0</v>
      </c>
      <c r="AK17" s="201">
        <f t="shared" si="2"/>
        <v>0</v>
      </c>
    </row>
    <row r="18" spans="1:37" s="202" customFormat="1" ht="64.5" hidden="1">
      <c r="A18" s="197" t="s">
        <v>211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>
        <f t="shared" si="3"/>
        <v>0</v>
      </c>
      <c r="AJ18" s="201">
        <f t="shared" ref="AJ18:AJ37" si="5">SUM(B18:W18)</f>
        <v>0</v>
      </c>
      <c r="AK18" s="201">
        <f t="shared" si="2"/>
        <v>0</v>
      </c>
    </row>
    <row r="19" spans="1:37" ht="39" hidden="1">
      <c r="A19" s="197" t="s">
        <v>212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>
        <f t="shared" si="3"/>
        <v>0</v>
      </c>
      <c r="AJ19" s="201">
        <f t="shared" si="5"/>
        <v>0</v>
      </c>
      <c r="AK19" s="201">
        <f t="shared" si="2"/>
        <v>0</v>
      </c>
    </row>
    <row r="20" spans="1:37" ht="45" hidden="1">
      <c r="A20" s="220" t="s">
        <v>252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>
        <f t="shared" si="3"/>
        <v>0</v>
      </c>
      <c r="AJ20" s="201">
        <f t="shared" si="5"/>
        <v>0</v>
      </c>
      <c r="AK20" s="201">
        <f t="shared" si="2"/>
        <v>0</v>
      </c>
    </row>
    <row r="21" spans="1:37" ht="26.25" hidden="1">
      <c r="A21" s="197" t="s">
        <v>206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>
        <f t="shared" si="3"/>
        <v>0</v>
      </c>
      <c r="AJ21" s="201">
        <f t="shared" si="5"/>
        <v>0</v>
      </c>
      <c r="AK21" s="201">
        <f t="shared" si="2"/>
        <v>0</v>
      </c>
    </row>
    <row r="22" spans="1:37" ht="39" hidden="1">
      <c r="A22" s="197" t="s">
        <v>207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>
        <f t="shared" si="3"/>
        <v>0</v>
      </c>
      <c r="AJ22" s="201">
        <f t="shared" si="5"/>
        <v>0</v>
      </c>
      <c r="AK22" s="201">
        <f t="shared" si="2"/>
        <v>0</v>
      </c>
    </row>
    <row r="23" spans="1:37" ht="39" hidden="1">
      <c r="A23" s="197" t="s">
        <v>208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>
        <f t="shared" si="3"/>
        <v>0</v>
      </c>
      <c r="AJ23" s="201">
        <f t="shared" si="5"/>
        <v>0</v>
      </c>
      <c r="AK23" s="201">
        <f t="shared" si="2"/>
        <v>0</v>
      </c>
    </row>
    <row r="24" spans="1:37" ht="51.75" hidden="1">
      <c r="A24" s="197" t="s">
        <v>201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>
        <v>6800000</v>
      </c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>
        <v>6800000</v>
      </c>
      <c r="AH24" s="201"/>
      <c r="AI24" s="201">
        <f t="shared" si="3"/>
        <v>6800000</v>
      </c>
      <c r="AJ24" s="201">
        <f t="shared" si="5"/>
        <v>6800000</v>
      </c>
      <c r="AK24" s="201">
        <f t="shared" si="2"/>
        <v>0</v>
      </c>
    </row>
    <row r="25" spans="1:37" ht="51.75" hidden="1">
      <c r="A25" s="197" t="s">
        <v>202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>
        <v>44262</v>
      </c>
      <c r="M25" s="201"/>
      <c r="N25" s="201"/>
      <c r="O25" s="201"/>
      <c r="P25" s="201"/>
      <c r="Q25" s="201">
        <v>778</v>
      </c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>
        <v>45040</v>
      </c>
      <c r="AH25" s="201"/>
      <c r="AI25" s="201">
        <v>45040</v>
      </c>
      <c r="AJ25" s="201">
        <f t="shared" si="5"/>
        <v>45040</v>
      </c>
      <c r="AK25" s="201">
        <f t="shared" si="2"/>
        <v>0</v>
      </c>
    </row>
    <row r="26" spans="1:37" ht="51.75" hidden="1">
      <c r="A26" s="197" t="s">
        <v>214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>
        <f t="shared" si="3"/>
        <v>0</v>
      </c>
      <c r="AJ26" s="201">
        <f t="shared" si="5"/>
        <v>0</v>
      </c>
      <c r="AK26" s="201">
        <f t="shared" si="2"/>
        <v>0</v>
      </c>
    </row>
    <row r="27" spans="1:37" ht="46.5" hidden="1" customHeight="1">
      <c r="A27" s="197" t="s">
        <v>205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>
        <v>1996820</v>
      </c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>
        <f t="shared" si="3"/>
        <v>0</v>
      </c>
      <c r="AJ27" s="201">
        <f t="shared" si="5"/>
        <v>1996820</v>
      </c>
      <c r="AK27" s="201">
        <f t="shared" si="2"/>
        <v>-1996820</v>
      </c>
    </row>
    <row r="28" spans="1:37" ht="46.5" hidden="1" customHeight="1">
      <c r="A28" s="227" t="s">
        <v>255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>
        <v>8900000</v>
      </c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>
        <v>11000000</v>
      </c>
      <c r="AH28" s="201"/>
      <c r="AI28" s="201">
        <f t="shared" ref="AI28" si="6">Y28+AB28+AC28+Z28+AE28+AG28+AF28+AD28</f>
        <v>11000000</v>
      </c>
      <c r="AJ28" s="201">
        <f t="shared" ref="AJ28" si="7">SUM(B28:W28)</f>
        <v>8900000</v>
      </c>
      <c r="AK28" s="201">
        <f t="shared" ref="AK28" si="8">AI28-AJ28</f>
        <v>2100000</v>
      </c>
    </row>
    <row r="29" spans="1:37" hidden="1">
      <c r="A29" s="203" t="s">
        <v>215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>
        <f t="shared" si="3"/>
        <v>0</v>
      </c>
      <c r="AJ29" s="201">
        <f t="shared" si="5"/>
        <v>0</v>
      </c>
      <c r="AK29" s="201">
        <f t="shared" si="2"/>
        <v>0</v>
      </c>
    </row>
    <row r="30" spans="1:37" hidden="1">
      <c r="A30" s="203" t="s">
        <v>216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>
        <f>Y30+AB30+AC30+Z30+AE30+AG30+AF30+AD30+AA30</f>
        <v>0</v>
      </c>
      <c r="AJ30" s="201">
        <f t="shared" si="5"/>
        <v>0</v>
      </c>
      <c r="AK30" s="201">
        <f t="shared" si="2"/>
        <v>0</v>
      </c>
    </row>
    <row r="31" spans="1:37" hidden="1">
      <c r="A31" s="203" t="s">
        <v>217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>
        <v>3841214.67</v>
      </c>
      <c r="V31" s="201"/>
      <c r="W31" s="201"/>
      <c r="X31" s="201"/>
      <c r="Y31" s="201"/>
      <c r="Z31" s="201"/>
      <c r="AA31" s="201">
        <v>2991214.67</v>
      </c>
      <c r="AB31" s="201"/>
      <c r="AC31" s="201"/>
      <c r="AD31" s="201"/>
      <c r="AE31" s="201"/>
      <c r="AF31" s="201"/>
      <c r="AG31" s="201"/>
      <c r="AH31" s="201"/>
      <c r="AI31" s="201">
        <f>Y31+AB31+AC31+Z31+AE31+AG31+AF31+AD31+AA31</f>
        <v>2991214.67</v>
      </c>
      <c r="AJ31" s="201">
        <f t="shared" si="5"/>
        <v>3841214.67</v>
      </c>
      <c r="AK31" s="201">
        <f t="shared" si="2"/>
        <v>-850000</v>
      </c>
    </row>
    <row r="32" spans="1:37" hidden="1">
      <c r="A32" s="203" t="s">
        <v>218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>
        <v>15100000</v>
      </c>
      <c r="V32" s="201"/>
      <c r="W32" s="201"/>
      <c r="X32" s="201"/>
      <c r="Y32" s="201"/>
      <c r="Z32" s="201"/>
      <c r="AA32" s="201">
        <v>15100000</v>
      </c>
      <c r="AB32" s="201"/>
      <c r="AC32" s="201"/>
      <c r="AD32" s="201"/>
      <c r="AE32" s="201"/>
      <c r="AF32" s="201"/>
      <c r="AG32" s="201"/>
      <c r="AH32" s="201"/>
      <c r="AI32" s="201">
        <f t="shared" ref="AI31:AI37" si="9">Y32+AB32+AC32+Z32+AE32+AG32+AF32+AD32+AA32</f>
        <v>15100000</v>
      </c>
      <c r="AJ32" s="201">
        <f t="shared" si="5"/>
        <v>15100000</v>
      </c>
      <c r="AK32" s="201">
        <f t="shared" si="2"/>
        <v>0</v>
      </c>
    </row>
    <row r="33" spans="1:37" hidden="1">
      <c r="A33" s="203" t="s">
        <v>256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>
        <v>17000000</v>
      </c>
      <c r="V33" s="201"/>
      <c r="W33" s="201"/>
      <c r="X33" s="201"/>
      <c r="Y33" s="201"/>
      <c r="Z33" s="201"/>
      <c r="AA33" s="201">
        <v>17000000</v>
      </c>
      <c r="AB33" s="201"/>
      <c r="AC33" s="201"/>
      <c r="AD33" s="201"/>
      <c r="AE33" s="201"/>
      <c r="AF33" s="201"/>
      <c r="AG33" s="201"/>
      <c r="AH33" s="201"/>
      <c r="AI33" s="201">
        <f t="shared" si="9"/>
        <v>17000000</v>
      </c>
      <c r="AJ33" s="201">
        <f t="shared" si="5"/>
        <v>17000000</v>
      </c>
      <c r="AK33" s="201">
        <f t="shared" si="2"/>
        <v>0</v>
      </c>
    </row>
    <row r="34" spans="1:37" hidden="1">
      <c r="A34" s="203" t="s">
        <v>257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>
        <v>5000000</v>
      </c>
      <c r="V34" s="201"/>
      <c r="W34" s="201"/>
      <c r="X34" s="201"/>
      <c r="Y34" s="201"/>
      <c r="Z34" s="201"/>
      <c r="AA34" s="201">
        <v>4600000</v>
      </c>
      <c r="AB34" s="201"/>
      <c r="AC34" s="201">
        <v>400000</v>
      </c>
      <c r="AD34" s="201"/>
      <c r="AE34" s="201"/>
      <c r="AF34" s="201"/>
      <c r="AG34" s="201"/>
      <c r="AH34" s="201"/>
      <c r="AI34" s="201">
        <f t="shared" si="9"/>
        <v>5000000</v>
      </c>
      <c r="AJ34" s="201">
        <f>SUM(B34:W34)</f>
        <v>5000000</v>
      </c>
      <c r="AK34" s="201">
        <f t="shared" si="2"/>
        <v>0</v>
      </c>
    </row>
    <row r="35" spans="1:37" hidden="1">
      <c r="A35" s="203" t="s">
        <v>258</v>
      </c>
      <c r="B35" s="201"/>
      <c r="C35" s="201">
        <v>69000</v>
      </c>
      <c r="D35" s="201"/>
      <c r="E35" s="201"/>
      <c r="F35" s="201"/>
      <c r="G35" s="201"/>
      <c r="H35" s="201">
        <v>290000</v>
      </c>
      <c r="I35" s="201"/>
      <c r="J35" s="201"/>
      <c r="K35" s="201">
        <v>20000</v>
      </c>
      <c r="L35" s="201">
        <v>1315000</v>
      </c>
      <c r="M35" s="201"/>
      <c r="N35" s="201">
        <v>60000</v>
      </c>
      <c r="O35" s="201"/>
      <c r="P35" s="201"/>
      <c r="Q35" s="201">
        <v>617866</v>
      </c>
      <c r="R35" s="201"/>
      <c r="S35" s="201">
        <v>1000</v>
      </c>
      <c r="T35" s="201"/>
      <c r="U35" s="201">
        <v>127134</v>
      </c>
      <c r="V35" s="201"/>
      <c r="W35" s="201"/>
      <c r="X35" s="201"/>
      <c r="Y35" s="201"/>
      <c r="Z35" s="201"/>
      <c r="AA35" s="201">
        <v>15000000</v>
      </c>
      <c r="AB35" s="201"/>
      <c r="AC35" s="201"/>
      <c r="AD35" s="201"/>
      <c r="AE35" s="201"/>
      <c r="AF35" s="201"/>
      <c r="AG35" s="201"/>
      <c r="AH35" s="201"/>
      <c r="AI35" s="201">
        <f t="shared" si="9"/>
        <v>15000000</v>
      </c>
      <c r="AJ35" s="201">
        <f t="shared" ref="AJ35:AJ37" si="10">SUM(B35:W35)</f>
        <v>2500000</v>
      </c>
      <c r="AK35" s="201"/>
    </row>
    <row r="36" spans="1:37" ht="26.25" hidden="1">
      <c r="A36" s="197" t="s">
        <v>219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>
        <f t="shared" si="9"/>
        <v>0</v>
      </c>
      <c r="AJ36" s="201">
        <f t="shared" si="10"/>
        <v>0</v>
      </c>
      <c r="AK36" s="201">
        <f t="shared" si="2"/>
        <v>0</v>
      </c>
    </row>
    <row r="37" spans="1:37" ht="39" hidden="1">
      <c r="A37" s="197" t="s">
        <v>220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>
        <v>40000</v>
      </c>
      <c r="M37" s="201"/>
      <c r="N37" s="201"/>
      <c r="O37" s="201"/>
      <c r="P37" s="201"/>
      <c r="Q37" s="201">
        <v>13106</v>
      </c>
      <c r="R37" s="201"/>
      <c r="S37" s="201"/>
      <c r="T37" s="201"/>
      <c r="U37" s="201"/>
      <c r="V37" s="201"/>
      <c r="W37" s="201"/>
      <c r="X37" s="201"/>
      <c r="Y37" s="201"/>
      <c r="Z37" s="201"/>
      <c r="AA37" s="201">
        <v>53106</v>
      </c>
      <c r="AB37" s="201"/>
      <c r="AC37" s="201"/>
      <c r="AD37" s="201"/>
      <c r="AE37" s="201"/>
      <c r="AF37" s="201"/>
      <c r="AG37" s="201"/>
      <c r="AH37" s="201"/>
      <c r="AI37" s="201">
        <f t="shared" si="9"/>
        <v>53106</v>
      </c>
      <c r="AJ37" s="201">
        <f t="shared" si="10"/>
        <v>53106</v>
      </c>
      <c r="AK37" s="201">
        <f t="shared" si="2"/>
        <v>0</v>
      </c>
    </row>
    <row r="38" spans="1:37" hidden="1">
      <c r="A38" s="225" t="s">
        <v>221</v>
      </c>
      <c r="B38" s="201">
        <f>SUM(B2:B37)</f>
        <v>1071400</v>
      </c>
      <c r="C38" s="201">
        <f t="shared" ref="C38:AH38" si="11">SUM(C2:C37)</f>
        <v>69000</v>
      </c>
      <c r="D38" s="201">
        <f t="shared" si="11"/>
        <v>0</v>
      </c>
      <c r="E38" s="201">
        <f t="shared" si="11"/>
        <v>0</v>
      </c>
      <c r="F38" s="201">
        <f t="shared" si="11"/>
        <v>0</v>
      </c>
      <c r="G38" s="201">
        <f t="shared" si="11"/>
        <v>50000</v>
      </c>
      <c r="H38" s="234">
        <f t="shared" si="11"/>
        <v>390500</v>
      </c>
      <c r="I38" s="234">
        <f t="shared" si="11"/>
        <v>0</v>
      </c>
      <c r="J38" s="234">
        <f t="shared" si="11"/>
        <v>0</v>
      </c>
      <c r="K38" s="234">
        <f t="shared" si="11"/>
        <v>20000</v>
      </c>
      <c r="L38" s="234">
        <f t="shared" si="11"/>
        <v>1664291.44</v>
      </c>
      <c r="M38" s="201">
        <f t="shared" si="11"/>
        <v>0</v>
      </c>
      <c r="N38" s="234">
        <f t="shared" si="11"/>
        <v>108000</v>
      </c>
      <c r="O38" s="201">
        <f t="shared" si="11"/>
        <v>0</v>
      </c>
      <c r="P38" s="234">
        <f t="shared" si="11"/>
        <v>140500</v>
      </c>
      <c r="Q38" s="201">
        <f t="shared" si="11"/>
        <v>755450</v>
      </c>
      <c r="R38" s="201">
        <f t="shared" si="11"/>
        <v>0</v>
      </c>
      <c r="S38" s="201">
        <f t="shared" si="11"/>
        <v>1700</v>
      </c>
      <c r="T38" s="201">
        <f t="shared" si="11"/>
        <v>0</v>
      </c>
      <c r="U38" s="201">
        <f t="shared" si="11"/>
        <v>62505338.910000004</v>
      </c>
      <c r="V38" s="201">
        <f t="shared" si="11"/>
        <v>0</v>
      </c>
      <c r="W38" s="201">
        <f t="shared" si="11"/>
        <v>9000</v>
      </c>
      <c r="X38" s="201">
        <f t="shared" si="11"/>
        <v>0</v>
      </c>
      <c r="Y38" s="234">
        <f>SUM(Y2:Y37)</f>
        <v>1375000</v>
      </c>
      <c r="Z38" s="234">
        <f t="shared" ref="Z38:AG38" si="12">SUM(Z2:Z37)</f>
        <v>150000</v>
      </c>
      <c r="AA38" s="234">
        <f t="shared" si="12"/>
        <v>54744320.670000002</v>
      </c>
      <c r="AB38" s="234">
        <f t="shared" si="12"/>
        <v>120270.24</v>
      </c>
      <c r="AC38" s="234">
        <f t="shared" si="12"/>
        <v>491300</v>
      </c>
      <c r="AD38" s="234">
        <f t="shared" si="12"/>
        <v>10700</v>
      </c>
      <c r="AE38" s="234">
        <f t="shared" si="12"/>
        <v>50000</v>
      </c>
      <c r="AF38" s="234">
        <f t="shared" si="12"/>
        <v>77200</v>
      </c>
      <c r="AG38" s="234">
        <f>SUM(AG2:AG37)</f>
        <v>21617948.350000001</v>
      </c>
      <c r="AH38" s="201">
        <f t="shared" si="11"/>
        <v>0</v>
      </c>
      <c r="AI38" s="201">
        <f>SUM(AI2:AI37)</f>
        <v>78636739.25999999</v>
      </c>
      <c r="AJ38" s="201">
        <f>SUM(AJ2:AJ37)</f>
        <v>66785180.350000001</v>
      </c>
      <c r="AK38" s="201">
        <f>SUM(AK2:AK37)</f>
        <v>-648441.08999999985</v>
      </c>
    </row>
    <row r="39" spans="1:37" hidden="1"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>
        <f>AI38*7.5%</f>
        <v>5897755.4444999993</v>
      </c>
    </row>
    <row r="40" spans="1:37" hidden="1">
      <c r="R40" s="201"/>
      <c r="S40" s="201"/>
      <c r="Z40" s="201"/>
      <c r="AA40" s="201"/>
      <c r="AB40" s="201"/>
      <c r="AF40" s="201"/>
      <c r="AG40" s="201"/>
      <c r="AH40" s="201"/>
      <c r="AJ40" s="201">
        <f>AI38-AJ38</f>
        <v>11851558.909999989</v>
      </c>
    </row>
    <row r="41" spans="1:37" hidden="1">
      <c r="AG41" s="201"/>
      <c r="AH41" s="201"/>
    </row>
    <row r="42" spans="1:37" hidden="1">
      <c r="Z42" s="201"/>
      <c r="AA42" s="201"/>
      <c r="AB42" s="201"/>
      <c r="AG42" s="201"/>
      <c r="AH42" s="201"/>
      <c r="AJ42" s="201">
        <f>-AJ38-50000</f>
        <v>-66835180.350000001</v>
      </c>
    </row>
    <row r="43" spans="1:37" hidden="1"/>
    <row r="44" spans="1:37" hidden="1"/>
    <row r="45" spans="1:37" hidden="1"/>
    <row r="46" spans="1:37" hidden="1"/>
    <row r="47" spans="1:37" hidden="1">
      <c r="AG47" s="201"/>
      <c r="AH47" s="2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ΣΥΝΟΠΤΙΚΟΣ</vt:lpstr>
      <vt:lpstr>ΠΡΟΓΡΑΜΜΑΤΑ</vt:lpstr>
      <vt:lpstr>Φύλλο3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KOULA OLYBIA</dc:creator>
  <cp:lastModifiedBy>KOULA OLYBIA</cp:lastModifiedBy>
  <cp:lastPrinted>2020-09-22T10:33:52Z</cp:lastPrinted>
  <dcterms:created xsi:type="dcterms:W3CDTF">2020-08-03T08:58:22Z</dcterms:created>
  <dcterms:modified xsi:type="dcterms:W3CDTF">2020-09-22T12:12:30Z</dcterms:modified>
</cp:coreProperties>
</file>